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25725"/>
</workbook>
</file>

<file path=xl/calcChain.xml><?xml version="1.0" encoding="utf-8"?>
<calcChain xmlns="http://schemas.openxmlformats.org/spreadsheetml/2006/main">
  <c r="G138" i="3"/>
  <c r="G91"/>
  <c r="G94"/>
  <c r="G265" l="1"/>
  <c r="G179"/>
  <c r="G178"/>
  <c r="G135"/>
  <c r="G107"/>
  <c r="G88"/>
  <c r="G78"/>
  <c r="G68"/>
  <c r="G55"/>
  <c r="G49"/>
  <c r="G46" l="1"/>
  <c r="G39"/>
  <c r="G85" l="1"/>
  <c r="G33"/>
  <c r="G32"/>
  <c r="G76" l="1"/>
  <c r="G318" l="1"/>
  <c r="G317"/>
  <c r="G180" l="1"/>
  <c r="G291" l="1"/>
  <c r="G316" l="1"/>
  <c r="G350" l="1"/>
  <c r="G334"/>
  <c r="G333"/>
  <c r="G329"/>
  <c r="G327"/>
  <c r="G326"/>
  <c r="G324"/>
  <c r="G302"/>
  <c r="G301"/>
  <c r="G300"/>
  <c r="G299"/>
  <c r="G297"/>
  <c r="G296"/>
  <c r="G295"/>
  <c r="G284"/>
  <c r="G280"/>
  <c r="G268"/>
  <c r="G248"/>
  <c r="G247"/>
  <c r="G220"/>
  <c r="G219"/>
  <c r="G218"/>
  <c r="G217"/>
  <c r="G216"/>
  <c r="G198"/>
  <c r="G193"/>
  <c r="G191"/>
  <c r="G190"/>
  <c r="G182"/>
  <c r="G165"/>
  <c r="G162"/>
  <c r="G136"/>
  <c r="G134"/>
  <c r="G127"/>
  <c r="G121"/>
  <c r="G110"/>
  <c r="G109"/>
  <c r="G90"/>
  <c r="G80"/>
  <c r="G79"/>
  <c r="G51"/>
  <c r="G44"/>
  <c r="G40"/>
  <c r="G37"/>
  <c r="G31" l="1"/>
  <c r="G254" l="1"/>
  <c r="G252"/>
  <c r="G98" l="1"/>
  <c r="G84"/>
  <c r="G339" l="1"/>
  <c r="G101"/>
  <c r="G346" l="1"/>
  <c r="G345"/>
  <c r="G321"/>
  <c r="G303"/>
  <c r="G215"/>
  <c r="G181"/>
  <c r="G173"/>
  <c r="G160"/>
  <c r="G157"/>
  <c r="G156"/>
  <c r="G48"/>
  <c r="G308" l="1"/>
  <c r="G104"/>
  <c r="G103"/>
  <c r="G102"/>
  <c r="G52"/>
  <c r="G166" l="1"/>
  <c r="G351" l="1"/>
  <c r="G263"/>
  <c r="G222"/>
  <c r="G204" l="1"/>
  <c r="G203"/>
  <c r="G123"/>
  <c r="G309" l="1"/>
  <c r="G155"/>
  <c r="G38"/>
  <c r="G319" l="1"/>
  <c r="G313" l="1"/>
  <c r="G226"/>
  <c r="G35" l="1"/>
  <c r="G116"/>
  <c r="G34"/>
  <c r="G330" l="1"/>
  <c r="G255"/>
  <c r="G244"/>
  <c r="G243"/>
  <c r="G119"/>
  <c r="G278" l="1"/>
  <c r="G281" l="1"/>
  <c r="G137" l="1"/>
  <c r="G86"/>
  <c r="G305" l="1"/>
  <c r="G294"/>
  <c r="G276"/>
  <c r="G272"/>
  <c r="G271"/>
  <c r="G256"/>
  <c r="G246"/>
  <c r="G183"/>
  <c r="G151"/>
  <c r="G147"/>
  <c r="G100"/>
  <c r="G99"/>
  <c r="G97"/>
  <c r="G50"/>
  <c r="G45"/>
  <c r="G29"/>
  <c r="G306" l="1"/>
  <c r="G148" l="1"/>
  <c r="G142" l="1"/>
  <c r="G206" l="1"/>
  <c r="G205"/>
  <c r="G315" l="1"/>
  <c r="G314"/>
  <c r="G245"/>
  <c r="G189"/>
  <c r="G177"/>
  <c r="G175"/>
  <c r="G164"/>
  <c r="G112"/>
  <c r="G69"/>
  <c r="G292" l="1"/>
  <c r="G144"/>
  <c r="G250" l="1"/>
  <c r="G235"/>
  <c r="G28" l="1"/>
  <c r="G161" l="1"/>
  <c r="G340" l="1"/>
  <c r="G304" l="1"/>
  <c r="G267" l="1"/>
  <c r="G154" l="1"/>
  <c r="G352" l="1"/>
</calcChain>
</file>

<file path=xl/sharedStrings.xml><?xml version="1.0" encoding="utf-8"?>
<sst xmlns="http://schemas.openxmlformats.org/spreadsheetml/2006/main" count="1895" uniqueCount="605">
  <si>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</si>
  <si>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</si>
  <si>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</si>
  <si>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</si>
  <si>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</si>
  <si>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</si>
  <si>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</si>
  <si>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</si>
  <si>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</si>
  <si>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</si>
  <si>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</si>
  <si>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</si>
  <si>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</si>
  <si>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</si>
  <si>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</si>
  <si>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</si>
  <si>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</si>
  <si>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</si>
  <si>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</si>
  <si>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</si>
  <si>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</si>
  <si>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</si>
  <si>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</si>
  <si>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</si>
  <si>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</si>
  <si>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</si>
  <si>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</si>
  <si>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</si>
  <si>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</si>
  <si>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</si>
  <si>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06 1 01 20420</t>
  </si>
  <si>
    <t>07 5 01 60060</t>
  </si>
  <si>
    <t>600</t>
  </si>
  <si>
    <t>06</t>
  </si>
  <si>
    <t>08</t>
  </si>
  <si>
    <t>09</t>
  </si>
  <si>
    <t>12</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</si>
  <si>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</si>
  <si>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</si>
  <si>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</si>
  <si>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</si>
  <si>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</si>
  <si>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</si>
  <si>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</si>
  <si>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</si>
  <si>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</si>
  <si>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</si>
  <si>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</si>
  <si>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</si>
  <si>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</si>
  <si>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</si>
  <si>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</si>
  <si>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</si>
  <si>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</si>
  <si>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</si>
  <si>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</si>
  <si>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</si>
  <si>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</si>
  <si>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</si>
  <si>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</si>
  <si>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</si>
  <si>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</si>
  <si>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</si>
  <si>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</si>
  <si>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</si>
  <si>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</si>
  <si>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</si>
  <si>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</si>
  <si>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</si>
  <si>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</si>
  <si>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</si>
  <si>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</si>
  <si>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</si>
  <si>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</si>
  <si>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</si>
  <si>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</si>
  <si>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</si>
  <si>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</si>
  <si>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</si>
  <si>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</si>
  <si>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</si>
  <si>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</si>
  <si>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</si>
  <si>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</si>
  <si>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</si>
  <si>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</si>
  <si>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</si>
  <si>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</si>
  <si>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</si>
  <si>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</si>
  <si>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</si>
  <si>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</si>
  <si>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</si>
  <si>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</si>
  <si>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</si>
  <si>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</si>
  <si>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</si>
  <si>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</si>
  <si>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</si>
  <si>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</si>
  <si>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</si>
  <si>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</si>
  <si>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</si>
  <si>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</si>
  <si>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</si>
  <si>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</si>
  <si>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</si>
  <si>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</si>
  <si>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</si>
  <si>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</si>
  <si>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</si>
  <si>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</si>
  <si>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</si>
  <si>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</si>
  <si>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</si>
  <si>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</si>
  <si>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</si>
  <si>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</si>
  <si>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</si>
  <si>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</si>
  <si>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</si>
  <si>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</si>
  <si>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</si>
  <si>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</si>
  <si>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</si>
  <si>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</si>
  <si>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</si>
  <si>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</si>
  <si>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</si>
  <si>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</si>
  <si>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</si>
  <si>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</si>
  <si>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</si>
  <si>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</si>
  <si>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</si>
  <si>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</si>
  <si>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</si>
  <si>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</si>
  <si>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</si>
  <si>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</si>
  <si>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</si>
  <si>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</si>
  <si>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</si>
  <si>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</si>
  <si>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</si>
  <si>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</si>
  <si>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</si>
  <si>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</si>
  <si>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</si>
  <si>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</si>
  <si>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</si>
  <si>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</si>
  <si>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</si>
  <si>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</si>
  <si>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</si>
  <si>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</si>
  <si>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</si>
  <si>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</si>
  <si>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</si>
  <si>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</si>
  <si>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</si>
  <si>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</si>
  <si>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</si>
  <si>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</si>
  <si>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</si>
  <si>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</si>
  <si>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</si>
  <si>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</si>
  <si>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</si>
  <si>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</si>
  <si>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</si>
  <si>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</si>
  <si>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</si>
  <si>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</si>
  <si>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</si>
  <si>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</si>
  <si>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</si>
  <si>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</si>
  <si>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</si>
  <si>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</si>
  <si>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</si>
  <si>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</si>
  <si>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</si>
  <si>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</si>
  <si>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</si>
  <si>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</si>
  <si>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</si>
  <si>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</si>
  <si>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</si>
  <si>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</si>
  <si>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</si>
  <si>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</si>
  <si>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</si>
  <si>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</si>
  <si>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</si>
  <si>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</si>
  <si>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</si>
  <si>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</si>
  <si>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</si>
  <si>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</si>
  <si>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</si>
  <si>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</si>
  <si>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</si>
  <si>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</si>
  <si>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</si>
  <si>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</si>
  <si>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</si>
  <si>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</si>
  <si>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</si>
  <si>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</si>
  <si>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</si>
  <si>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</si>
  <si>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</si>
  <si>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</si>
  <si>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</si>
  <si>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</si>
  <si>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</si>
  <si>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</si>
  <si>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</si>
  <si>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</si>
  <si>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</si>
  <si>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</si>
  <si>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</si>
  <si>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</si>
  <si>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</si>
  <si>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</si>
  <si>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</si>
  <si>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</si>
  <si>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</si>
  <si>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</si>
  <si>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</si>
  <si>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</si>
  <si>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</si>
  <si>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</si>
  <si>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</si>
  <si>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</si>
  <si>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</si>
  <si>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</si>
  <si>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</si>
  <si>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</si>
  <si>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</si>
  <si>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</si>
  <si>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</si>
  <si>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</si>
  <si>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</si>
  <si>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</si>
  <si>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</si>
  <si>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</si>
  <si>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</si>
  <si>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</si>
  <si>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</si>
  <si>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</si>
  <si>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</si>
  <si>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</si>
  <si>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</si>
  <si>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</si>
  <si>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</si>
  <si>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</si>
  <si>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</si>
  <si>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</si>
  <si>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</si>
  <si>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</si>
  <si>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</si>
  <si>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</si>
  <si>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</si>
  <si>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</si>
  <si>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</si>
  <si>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</si>
  <si>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</si>
  <si>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</si>
  <si>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</si>
  <si>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</si>
  <si>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</si>
  <si>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</si>
  <si>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</si>
  <si>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</si>
  <si>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</si>
  <si>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</si>
  <si>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</si>
  <si>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</si>
  <si>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</si>
  <si>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</si>
  <si>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</si>
  <si>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</si>
  <si>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</si>
  <si>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</si>
  <si>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</si>
  <si>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</si>
  <si>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</si>
  <si>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</si>
  <si>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</si>
  <si>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</si>
  <si>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</si>
  <si>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</si>
  <si>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</si>
  <si>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</si>
  <si>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</si>
  <si>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</si>
  <si>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</si>
  <si>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</si>
  <si>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</si>
  <si>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</si>
  <si>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</si>
  <si>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</si>
  <si>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</si>
  <si>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</si>
  <si>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</si>
  <si>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</si>
  <si>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</si>
  <si>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</si>
  <si>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</si>
  <si>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</si>
  <si>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</si>
  <si>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</si>
  <si>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</si>
  <si>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</si>
  <si>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</si>
  <si>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</si>
  <si>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</si>
  <si>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</si>
  <si>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</si>
  <si>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</si>
  <si>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</si>
  <si>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</si>
  <si>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</si>
  <si>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</si>
  <si>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</si>
  <si>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</si>
  <si>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</si>
  <si>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</si>
  <si>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</si>
  <si>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</si>
  <si>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</si>
  <si>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</si>
  <si>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</si>
  <si>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</si>
  <si>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</si>
  <si>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</si>
  <si>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</si>
  <si>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</si>
  <si>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</si>
  <si>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</si>
  <si>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</si>
  <si>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</si>
  <si>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</si>
  <si>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</si>
  <si>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</si>
  <si>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</si>
  <si>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</si>
  <si>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</si>
  <si>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</si>
  <si>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</si>
  <si>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</si>
  <si>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</si>
  <si>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</si>
  <si>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</si>
  <si>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</si>
  <si>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</si>
  <si>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</si>
  <si>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</si>
  <si>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</si>
  <si>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</si>
  <si>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</si>
  <si>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</si>
  <si>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</si>
  <si>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</si>
  <si>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</si>
  <si>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</si>
  <si>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</si>
  <si>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</si>
  <si>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</si>
  <si>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</si>
  <si>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</si>
  <si>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</si>
  <si>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</si>
  <si>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</si>
  <si>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</si>
  <si>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</si>
  <si>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</si>
  <si>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</si>
  <si>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</si>
  <si>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</si>
  <si>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</si>
  <si>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</si>
  <si>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</si>
  <si>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</si>
  <si>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</si>
  <si>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</si>
  <si>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</si>
  <si>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</si>
  <si>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</si>
  <si>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</si>
  <si>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</si>
  <si>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</si>
  <si>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</si>
  <si>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</si>
  <si>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</si>
  <si>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</si>
  <si>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</si>
  <si>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</si>
  <si>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</si>
  <si>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</si>
  <si>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</si>
  <si>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</si>
  <si>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</si>
  <si>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</si>
  <si>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</si>
  <si>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</si>
  <si>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03 1 01 25830</t>
  </si>
  <si>
    <t>03 1 01 25840</t>
  </si>
  <si>
    <t>03 1 01 25850</t>
  </si>
  <si>
    <t>03 1 01 25890</t>
  </si>
  <si>
    <t>03 1 01 25950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</si>
  <si>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</si>
  <si>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</si>
  <si>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</si>
  <si>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</si>
  <si>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</si>
  <si>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</si>
  <si>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</si>
  <si>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</si>
  <si>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</si>
  <si>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</si>
  <si>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</si>
  <si>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</si>
  <si>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</si>
  <si>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</si>
  <si>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</si>
  <si>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</si>
  <si>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</si>
  <si>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</si>
  <si>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</si>
  <si>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</si>
  <si>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</si>
  <si>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</si>
  <si>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</si>
  <si>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</si>
  <si>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</si>
  <si>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</si>
  <si>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</si>
  <si>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</si>
  <si>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</si>
  <si>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</si>
  <si>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</si>
  <si>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</si>
  <si>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</si>
  <si>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</si>
  <si>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</si>
  <si>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</si>
  <si>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</si>
  <si>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</si>
  <si>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</si>
  <si>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</si>
  <si>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</si>
  <si>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</si>
  <si>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</si>
  <si>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</si>
  <si>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</si>
  <si>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</si>
  <si>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</si>
  <si>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</si>
  <si>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</si>
  <si>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</si>
  <si>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</si>
  <si>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</si>
  <si>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</si>
  <si>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</si>
  <si>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</si>
  <si>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</si>
  <si>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</si>
  <si>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</si>
  <si>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</si>
  <si>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</si>
  <si>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</si>
  <si>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</si>
  <si>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</si>
  <si>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</si>
  <si>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</si>
  <si>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</si>
  <si>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</si>
  <si>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</si>
  <si>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</si>
  <si>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</si>
  <si>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</si>
  <si>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</si>
  <si>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</si>
  <si>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</si>
  <si>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</si>
  <si>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</si>
  <si>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</si>
  <si>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</si>
  <si>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</si>
  <si>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</si>
  <si>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01 2 02 26260</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</si>
  <si>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</si>
  <si>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 xml:space="preserve">039 </t>
  </si>
  <si>
    <t>01 2 02 26290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</si>
  <si>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</si>
  <si>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</si>
  <si>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</si>
  <si>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</si>
  <si>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</si>
  <si>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</si>
  <si>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</si>
  <si>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</si>
  <si>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</si>
  <si>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</si>
  <si>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</si>
  <si>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</si>
  <si>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</si>
  <si>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</si>
  <si>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</si>
  <si>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</si>
  <si>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</si>
  <si>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</si>
  <si>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</si>
  <si>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02 К 01 26330</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</si>
  <si>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</si>
  <si>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31 9 00 26340</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</si>
  <si>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</si>
  <si>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01 3 02 26350</t>
  </si>
  <si>
    <t>01 3 02 26360</t>
  </si>
  <si>
    <t>Услуги по комплексному озеленению территории МБУДО "ДООЦ" г. Южи (Предоставление субсидий бюджетным, автономным учреждениям и иным некоммерческим организациям)</t>
  </si>
  <si>
    <t>Услуги по уходу за зелеными насаждениями на территории МБУДО "ДООЦ" г. Южи (Предоставление субсидий бюджетным, автономным учреждениям и иным некоммерческим организациям)</t>
  </si>
  <si>
    <t>02 Д 03 26390</t>
  </si>
  <si>
    <t xml:space="preserve">Содержание и ремонт нецентрализованных источников водоснабжения на территориях сельских поселений Южского муниципального района (Закупка товаров, работ и услуг для обеспечения государственных (муниципальных) нужд) </t>
  </si>
  <si>
    <t>31 9 00 26380</t>
  </si>
  <si>
    <t xml:space="preserve">Оплата исполнительского сбора в соответствии с ИП № 69978/22/37023-ИП от 01.12.2022 года (Иные бюджетные ассигнования) </t>
  </si>
  <si>
    <t>31 9 00 26440</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</si>
  <si>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</si>
  <si>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31 9 00 26450</t>
  </si>
  <si>
    <t xml:space="preserve">Осуществление строительного контроля по объекту "Капитальный ремонт здания МБДОУ детского сада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</si>
  <si>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здания МБДОУ детского сада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</si>
  <si>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01 1 02 26490</t>
  </si>
  <si>
    <t>01 1 02 26510</t>
  </si>
  <si>
    <t>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(Закупка товаров, работ и услуг для обеспечения государственных (муниципальных) нужд)</t>
  </si>
  <si>
    <t xml:space="preserve">Возмещение убытков, причиненных неисполнением наймодателем обязанности по своевременному проведению капитального ремонта в пользу Федоткина Д.Е. по апеляционному определению Ивановской областного суда от 03.07.2023г. по делу 33-1563/2023 (Иные бюджетные ассигнования) </t>
  </si>
  <si>
    <t>31 9 00 55490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</si>
  <si>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</si>
  <si>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31 9 00 26520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</si>
  <si>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03.05.2023 года, исполнительное производство № 54881/22/37023-ИП от 15.09.2022 г. по АД № 1383/23/37023-АП от 18.04.2023 г. (Иные бюджетные ассигнования) </t>
  </si>
  <si>
    <t>02 К 01 26470</t>
  </si>
  <si>
    <t xml:space="preserve">Возмещение судебных расходов по оплате юридических услуг по определению Палехского районного суда Ивановской области от 17.07.2023 года по делу № 2-383/2023 (Иные бюджетные ассигнования) </t>
  </si>
  <si>
    <t>02 Д 03 26530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</si>
  <si>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в Южском муниципальном районе (Закупка товаров, работ и услуг для обеспечения государственных (муниципальных) нужд) </t>
  </si>
  <si>
    <t>02 Д 03 26540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</si>
  <si>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рамках организации в границах поселений водоснабжения населения (Закупка товаров, работ и услуг для обеспечения государственных (муниципальных) нужд) </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</si>
  <si>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</si>
  <si>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</si>
  <si>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Южской городской свалки, расположенной по адресу: Ивановская область, Южский район, 1,5 км южнее г. Южа (Закупка товаров, работ и услуг для обеспечения государственных (муниципальных) нужд) </t>
  </si>
  <si>
    <t xml:space="preserve">Проведение экспертного исследования на предмет влияния на окружающую среду свалки, расположенной по адресу: Ивановская область, Южский район, Талицко-Мугреевское сельское поселение, юго-восточнее с. Талицы, на расстоянии примерно 500 м. от границы участка до населенного пункта (Закупка товаров, работ и услуг для обеспечения государственных (муниципальных) нужд) </t>
  </si>
  <si>
    <t>02 7 01 26560</t>
  </si>
  <si>
    <t>02 7 01 26570</t>
  </si>
  <si>
    <t>01 М 01 26590</t>
  </si>
  <si>
    <t>01 М 01 26600</t>
  </si>
  <si>
    <t xml:space="preserve">Выплата денежного поощрения победителям и (или) призёрам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</si>
  <si>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 xml:space="preserve">Выплата денежного поощрения педагогическим работникам, подготовившим победителей и (или) призеров регионального этапа всероссийской олимпиады школьников (Предоставление субсидий бюджетным, автономным учреждениям и иным некоммерческим организациям) </t>
  </si>
  <si>
    <t>01 2 02 26610</t>
  </si>
  <si>
    <t xml:space="preserve">Установка узла автоматизированного коммерческого учета тепловой энергии, теплоносителя в водяных системах теплопотребления по адресу: г. Южа, ул. Пушкина д. 2 (Предоставление субсидий бюджетным, автономным учреждениям и иным некоммерческим организациям) </t>
  </si>
  <si>
    <t>02 К 01 26620</t>
  </si>
  <si>
    <t>Судебные расходы по оплате государственной пошлины по решению Палехского районного суда Ивановской области от 08.09.2023 года по Делу № 2а-622/2023 (Иные бюджетные ассигнования)</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</si>
  <si>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</si>
  <si>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</si>
  <si>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01 2 02 26630</t>
  </si>
  <si>
    <t>Устройство ограждения на территории МКОУСОШ с. Холуй по адресу: 155633, Россия, Ивановская обл., Южский р-н, с. Холуй, ул. Полевая, д. 1-а (Закупка товаров, работ и услуг для обеспечения государственных (муниципальных) нужд)</t>
  </si>
  <si>
    <t>31 9 00 26640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</si>
  <si>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9221/22/37023-ИП от 09.02.2022 г. по АД № 1312/22/37023-АП от 29.09.2022 г. (Иные бюджетные ассигнования) </t>
  </si>
  <si>
    <t>31 9 00 26650</t>
  </si>
  <si>
    <t>Благотворительная помощь Отделу образования администрации Южского муниципального района для содействия деятельности в сфере образования, науки, культуры, искусства, просвещения, духовному развитию личности (Закупка товаров, работ и услуг для обеспечения государственных (муниципальных) нужд)</t>
  </si>
  <si>
    <t>31 9 00 26660</t>
  </si>
  <si>
    <t>31 9 00 26670</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</si>
  <si>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98037/23/230151, исполнительное производство № 22407/23/98037-ИП от 14.11.2022 (Иные бюджетные ассигнования) </t>
  </si>
  <si>
    <t xml:space="preserve">Оплата исполнительского сбора по постановлению должностного лица Главного межрегионального (специализированного) управления Федеральной службы судебных приставов СОСП по Ивановской области ГМУ ФССП России от 17.10.2023 № 98037/23/230152, исполнительное производство № 22414/23/98037-ИП от 02.11.2022 (Иные бюджетные ассигнования) </t>
  </si>
  <si>
    <t>31 9 00 26680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</si>
  <si>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29.06.2023 года, исполнительное производство № 77707/22/37023-ИП от 09.01.2023 г. по АД № 1431/23/37023-АП от 28.06.2023 г. (Иные бюджетные ассигнования) </t>
  </si>
  <si>
    <t xml:space="preserve">01 </t>
  </si>
  <si>
    <t>01 1 02 26700</t>
  </si>
  <si>
    <t xml:space="preserve">Устройство принудительной системы вентиляции в пищеблоке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</si>
  <si>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01 2 01 81090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</si>
  <si>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</si>
  <si>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</si>
  <si>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01 3 02 26710</t>
  </si>
  <si>
    <t>01 3 02 26720</t>
  </si>
  <si>
    <t>Укрепление материально-технической базы МБУДО "Детско-юношеский центр" (Предоставление субсидий бюджетным, автономным учреждениям и иным некоммерческим организациям)</t>
  </si>
  <si>
    <t>Капитальный ремонт в здании МБУДО "ДООЦ" г. Южи по адресу: 155630, Ивановская область, г. Южа ул. Советская, д. 22Б (лестничная клетка и раздевалка) (Предоставление субсидий бюджетным, автономным учреждениям и иным некоммерческим организациям)</t>
  </si>
  <si>
    <t>31 9 00 20970</t>
  </si>
  <si>
    <t>31 9 00 20980</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</si>
  <si>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</si>
  <si>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</si>
  <si>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31 9 00 25630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</si>
  <si>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</si>
  <si>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</si>
  <si>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08 4 03 23090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</si>
  <si>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</si>
  <si>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</si>
  <si>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</si>
  <si>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</si>
  <si>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Приложение № 6</t>
  </si>
  <si>
    <t>08 4 01 26740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</si>
  <si>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</si>
  <si>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03 1 01 26750</t>
  </si>
  <si>
    <t xml:space="preserve">Создание, установка модуля оплаты по "Пушкинской карте" и техническая поддержка сайта (Закупка товаров, работ и услуг для обеспечения государственных (муниципальных) нужд) </t>
  </si>
  <si>
    <t>01 3 02 25650</t>
  </si>
  <si>
    <t>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t>
  </si>
  <si>
    <t>от 14.12.2023 № 105</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</si>
</sst>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49" fontId="1"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443"/>
  <sheetViews>
    <sheetView tabSelected="1" zoomScale="90" zoomScaleNormal="90" workbookViewId="0">
      <selection activeCell="E12" sqref="E12"/>
    </sheetView>
  </sheetViews>
  <sheetFormatPr defaultRowHeight="18.75"/>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c r="E1" s="48" t="s">
        <v>597</v>
      </c>
      <c r="F1" s="48"/>
      <c r="G1" s="48"/>
    </row>
    <row r="2" spans="5:7">
      <c r="E2" s="48" t="s">
        <v>0</v>
      </c>
      <c r="F2" s="48"/>
      <c r="G2" s="48"/>
    </row>
    <row r="3" spans="5:7">
      <c r="E3" s="48" t="s">
        <v>1</v>
      </c>
      <c r="F3" s="48"/>
      <c r="G3" s="48"/>
    </row>
    <row r="4" spans="5:7">
      <c r="E4" s="48" t="s">
        <v>391</v>
      </c>
      <c r="F4" s="48"/>
      <c r="G4" s="48"/>
    </row>
    <row r="5" spans="5:7">
      <c r="E5" s="48" t="s">
        <v>392</v>
      </c>
      <c r="F5" s="48"/>
      <c r="G5" s="48"/>
    </row>
    <row r="6" spans="5:7">
      <c r="E6" s="48" t="s">
        <v>1</v>
      </c>
      <c r="F6" s="48"/>
      <c r="G6" s="48"/>
    </row>
    <row r="7" spans="5:7">
      <c r="E7" s="48" t="s">
        <v>393</v>
      </c>
      <c r="F7" s="48"/>
      <c r="G7" s="48"/>
    </row>
    <row r="8" spans="5:7">
      <c r="E8" s="48" t="s">
        <v>394</v>
      </c>
      <c r="F8" s="48"/>
      <c r="G8" s="48"/>
    </row>
    <row r="9" spans="5:7">
      <c r="E9" s="48" t="s">
        <v>362</v>
      </c>
      <c r="F9" s="48"/>
      <c r="G9" s="48"/>
    </row>
    <row r="10" spans="5:7">
      <c r="E10" s="48" t="s">
        <v>395</v>
      </c>
      <c r="F10" s="48"/>
      <c r="G10" s="48"/>
    </row>
    <row r="11" spans="5:7">
      <c r="E11" s="48" t="s">
        <v>604</v>
      </c>
      <c r="F11" s="48"/>
      <c r="G11" s="48"/>
    </row>
    <row r="13" spans="5:7">
      <c r="E13" s="45" t="s">
        <v>389</v>
      </c>
      <c r="F13" s="45"/>
      <c r="G13" s="45"/>
    </row>
    <row r="14" spans="5:7">
      <c r="E14" s="45" t="s">
        <v>0</v>
      </c>
      <c r="F14" s="45"/>
      <c r="G14" s="45"/>
    </row>
    <row r="15" spans="5:7">
      <c r="E15" s="45" t="s">
        <v>1</v>
      </c>
      <c r="F15" s="45"/>
      <c r="G15" s="45"/>
    </row>
    <row r="16" spans="5:7">
      <c r="E16" s="45" t="s">
        <v>2</v>
      </c>
      <c r="F16" s="45"/>
      <c r="G16" s="45"/>
    </row>
    <row r="17" spans="1:7">
      <c r="E17" s="45" t="s">
        <v>1</v>
      </c>
      <c r="F17" s="45"/>
      <c r="G17" s="45"/>
    </row>
    <row r="18" spans="1:7">
      <c r="E18" s="45" t="s">
        <v>362</v>
      </c>
      <c r="F18" s="45"/>
      <c r="G18" s="45"/>
    </row>
    <row r="19" spans="1:7">
      <c r="E19" s="45" t="s">
        <v>363</v>
      </c>
      <c r="F19" s="45"/>
      <c r="G19" s="45"/>
    </row>
    <row r="20" spans="1:7" ht="18.75" customHeight="1">
      <c r="E20" s="47" t="s">
        <v>390</v>
      </c>
      <c r="F20" s="47"/>
      <c r="G20" s="47"/>
    </row>
    <row r="22" spans="1:7" s="7" customFormat="1" ht="23.25" customHeight="1">
      <c r="A22" s="46" t="s">
        <v>364</v>
      </c>
      <c r="B22" s="46"/>
      <c r="C22" s="46"/>
      <c r="D22" s="46"/>
      <c r="E22" s="46"/>
      <c r="F22" s="46"/>
      <c r="G22" s="46"/>
    </row>
    <row r="23" spans="1:7" ht="21.75" customHeight="1">
      <c r="A23" s="39"/>
      <c r="B23" s="39"/>
      <c r="C23" s="39"/>
      <c r="D23" s="39"/>
      <c r="E23" s="39"/>
      <c r="F23" s="39"/>
      <c r="G23" s="39"/>
    </row>
    <row r="24" spans="1:7" ht="18.75" customHeight="1">
      <c r="A24" s="40" t="s">
        <v>3</v>
      </c>
      <c r="B24" s="41" t="s">
        <v>228</v>
      </c>
      <c r="C24" s="41" t="s">
        <v>4</v>
      </c>
      <c r="D24" s="41" t="s">
        <v>5</v>
      </c>
      <c r="E24" s="40" t="s">
        <v>6</v>
      </c>
      <c r="F24" s="41" t="s">
        <v>7</v>
      </c>
      <c r="G24" s="42" t="s">
        <v>365</v>
      </c>
    </row>
    <row r="25" spans="1:7" ht="69" customHeight="1">
      <c r="A25" s="40"/>
      <c r="B25" s="41"/>
      <c r="C25" s="41"/>
      <c r="D25" s="41"/>
      <c r="E25" s="40"/>
      <c r="F25" s="41"/>
      <c r="G25" s="43"/>
    </row>
    <row r="26" spans="1:7" ht="33" customHeight="1">
      <c r="A26" s="40"/>
      <c r="B26" s="41"/>
      <c r="C26" s="41"/>
      <c r="D26" s="41"/>
      <c r="E26" s="40"/>
      <c r="F26" s="41"/>
      <c r="G26" s="44"/>
    </row>
    <row r="27" spans="1:7" s="3" customFormat="1">
      <c r="A27" s="26" t="s">
        <v>8</v>
      </c>
      <c r="B27" s="25" t="s">
        <v>9</v>
      </c>
      <c r="C27" s="25" t="s">
        <v>10</v>
      </c>
      <c r="D27" s="25" t="s">
        <v>11</v>
      </c>
      <c r="E27" s="25" t="s">
        <v>12</v>
      </c>
      <c r="F27" s="25" t="s">
        <v>13</v>
      </c>
      <c r="G27" s="23">
        <v>7</v>
      </c>
    </row>
    <row r="28" spans="1:7" s="7" customFormat="1" ht="41.25" customHeight="1">
      <c r="A28" s="10" t="s">
        <v>196</v>
      </c>
      <c r="B28" s="4" t="s">
        <v>14</v>
      </c>
      <c r="C28" s="4" t="s">
        <v>15</v>
      </c>
      <c r="D28" s="4" t="s">
        <v>15</v>
      </c>
      <c r="E28" s="4" t="s">
        <v>16</v>
      </c>
      <c r="F28" s="4" t="s">
        <v>17</v>
      </c>
      <c r="G28" s="12">
        <f>SUM(G29:G143)</f>
        <v>139515624.48999998</v>
      </c>
    </row>
    <row r="29" spans="1:7" s="7" customFormat="1" ht="108" customHeight="1">
      <c r="A29" s="21" t="s">
        <v>109</v>
      </c>
      <c r="B29" s="13" t="s">
        <v>14</v>
      </c>
      <c r="C29" s="13" t="s">
        <v>18</v>
      </c>
      <c r="D29" s="13" t="s">
        <v>19</v>
      </c>
      <c r="E29" s="17" t="s">
        <v>20</v>
      </c>
      <c r="F29" s="13" t="s">
        <v>21</v>
      </c>
      <c r="G29" s="19">
        <f>1700949.87+140400.73+41890.73</f>
        <v>1883241.33</v>
      </c>
    </row>
    <row r="30" spans="1:7" s="7" customFormat="1" ht="108" customHeight="1">
      <c r="A30" s="21" t="s">
        <v>538</v>
      </c>
      <c r="B30" s="13" t="s">
        <v>14</v>
      </c>
      <c r="C30" s="13" t="s">
        <v>18</v>
      </c>
      <c r="D30" s="13" t="s">
        <v>19</v>
      </c>
      <c r="E30" s="17" t="s">
        <v>537</v>
      </c>
      <c r="F30" s="13" t="s">
        <v>21</v>
      </c>
      <c r="G30" s="19">
        <v>1171800</v>
      </c>
    </row>
    <row r="31" spans="1:7" ht="142.5" customHeight="1">
      <c r="A31" s="21" t="s">
        <v>110</v>
      </c>
      <c r="B31" s="13" t="s">
        <v>14</v>
      </c>
      <c r="C31" s="13" t="s">
        <v>18</v>
      </c>
      <c r="D31" s="13" t="s">
        <v>22</v>
      </c>
      <c r="E31" s="17" t="s">
        <v>23</v>
      </c>
      <c r="F31" s="13" t="s">
        <v>21</v>
      </c>
      <c r="G31" s="19">
        <f>23978396.16+545508.51+81077.58</f>
        <v>24604982.25</v>
      </c>
    </row>
    <row r="32" spans="1:7" ht="106.5" customHeight="1">
      <c r="A32" s="21" t="s">
        <v>111</v>
      </c>
      <c r="B32" s="13" t="s">
        <v>14</v>
      </c>
      <c r="C32" s="13" t="s">
        <v>18</v>
      </c>
      <c r="D32" s="13" t="s">
        <v>22</v>
      </c>
      <c r="E32" s="17" t="s">
        <v>23</v>
      </c>
      <c r="F32" s="13" t="s">
        <v>24</v>
      </c>
      <c r="G32" s="19">
        <f>991255.72+3069.18+38423.81+71721.04-18450-81077.58-4500+28419</f>
        <v>1028861.17</v>
      </c>
    </row>
    <row r="33" spans="1:8" ht="85.5" customHeight="1">
      <c r="A33" s="21" t="s">
        <v>25</v>
      </c>
      <c r="B33" s="13" t="s">
        <v>14</v>
      </c>
      <c r="C33" s="13" t="s">
        <v>18</v>
      </c>
      <c r="D33" s="13" t="s">
        <v>22</v>
      </c>
      <c r="E33" s="17" t="s">
        <v>23</v>
      </c>
      <c r="F33" s="13" t="s">
        <v>26</v>
      </c>
      <c r="G33" s="19">
        <f>104000-29419</f>
        <v>74581</v>
      </c>
    </row>
    <row r="34" spans="1:8" ht="112.5">
      <c r="A34" s="29" t="s">
        <v>157</v>
      </c>
      <c r="B34" s="13" t="s">
        <v>14</v>
      </c>
      <c r="C34" s="13" t="s">
        <v>18</v>
      </c>
      <c r="D34" s="13" t="s">
        <v>22</v>
      </c>
      <c r="E34" s="17" t="s">
        <v>158</v>
      </c>
      <c r="F34" s="13" t="s">
        <v>21</v>
      </c>
      <c r="G34" s="19">
        <f>487530.12+54779.49</f>
        <v>542309.61</v>
      </c>
      <c r="H34" s="34"/>
    </row>
    <row r="35" spans="1:8" ht="93" customHeight="1">
      <c r="A35" s="21" t="s">
        <v>159</v>
      </c>
      <c r="B35" s="13" t="s">
        <v>14</v>
      </c>
      <c r="C35" s="13" t="s">
        <v>18</v>
      </c>
      <c r="D35" s="13" t="s">
        <v>22</v>
      </c>
      <c r="E35" s="17" t="s">
        <v>158</v>
      </c>
      <c r="F35" s="13" t="s">
        <v>24</v>
      </c>
      <c r="G35" s="19">
        <f>64779.49-54779.49</f>
        <v>10000</v>
      </c>
    </row>
    <row r="36" spans="1:8" ht="63" customHeight="1">
      <c r="A36" s="21" t="s">
        <v>467</v>
      </c>
      <c r="B36" s="13" t="s">
        <v>14</v>
      </c>
      <c r="C36" s="13" t="s">
        <v>18</v>
      </c>
      <c r="D36" s="13" t="s">
        <v>22</v>
      </c>
      <c r="E36" s="17" t="s">
        <v>466</v>
      </c>
      <c r="F36" s="13" t="s">
        <v>24</v>
      </c>
      <c r="G36" s="19">
        <v>4500</v>
      </c>
    </row>
    <row r="37" spans="1:8" ht="93" customHeight="1">
      <c r="A37" s="28" t="s">
        <v>186</v>
      </c>
      <c r="B37" s="13" t="s">
        <v>14</v>
      </c>
      <c r="C37" s="13" t="s">
        <v>18</v>
      </c>
      <c r="D37" s="13" t="s">
        <v>22</v>
      </c>
      <c r="E37" s="17" t="s">
        <v>181</v>
      </c>
      <c r="F37" s="13" t="s">
        <v>24</v>
      </c>
      <c r="G37" s="19">
        <f>56000+18450-650</f>
        <v>73800</v>
      </c>
    </row>
    <row r="38" spans="1:8" ht="51.75" customHeight="1">
      <c r="A38" s="28" t="s">
        <v>112</v>
      </c>
      <c r="B38" s="13" t="s">
        <v>14</v>
      </c>
      <c r="C38" s="13" t="s">
        <v>18</v>
      </c>
      <c r="D38" s="13" t="s">
        <v>28</v>
      </c>
      <c r="E38" s="17" t="s">
        <v>113</v>
      </c>
      <c r="F38" s="13" t="s">
        <v>26</v>
      </c>
      <c r="G38" s="19">
        <f>500000+500000-181060.74</f>
        <v>818939.26</v>
      </c>
    </row>
    <row r="39" spans="1:8" ht="102.75" customHeight="1">
      <c r="A39" s="30" t="s">
        <v>249</v>
      </c>
      <c r="B39" s="13" t="s">
        <v>14</v>
      </c>
      <c r="C39" s="13" t="s">
        <v>18</v>
      </c>
      <c r="D39" s="13" t="s">
        <v>29</v>
      </c>
      <c r="E39" s="17" t="s">
        <v>239</v>
      </c>
      <c r="F39" s="13" t="s">
        <v>24</v>
      </c>
      <c r="G39" s="19">
        <f>18000-18000</f>
        <v>0</v>
      </c>
    </row>
    <row r="40" spans="1:8" ht="65.25" customHeight="1">
      <c r="A40" s="28" t="s">
        <v>114</v>
      </c>
      <c r="B40" s="13" t="s">
        <v>14</v>
      </c>
      <c r="C40" s="13" t="s">
        <v>18</v>
      </c>
      <c r="D40" s="13" t="s">
        <v>29</v>
      </c>
      <c r="E40" s="17" t="s">
        <v>115</v>
      </c>
      <c r="F40" s="13" t="s">
        <v>24</v>
      </c>
      <c r="G40" s="19">
        <f>242000-29170.09</f>
        <v>212829.91</v>
      </c>
    </row>
    <row r="41" spans="1:8" ht="143.25" customHeight="1">
      <c r="A41" s="21" t="s">
        <v>172</v>
      </c>
      <c r="B41" s="13" t="s">
        <v>14</v>
      </c>
      <c r="C41" s="13" t="s">
        <v>18</v>
      </c>
      <c r="D41" s="13" t="s">
        <v>29</v>
      </c>
      <c r="E41" s="17" t="s">
        <v>31</v>
      </c>
      <c r="F41" s="13" t="s">
        <v>32</v>
      </c>
      <c r="G41" s="19">
        <v>154800</v>
      </c>
    </row>
    <row r="42" spans="1:8" ht="98.25" customHeight="1">
      <c r="A42" s="21" t="s">
        <v>155</v>
      </c>
      <c r="B42" s="13" t="s">
        <v>14</v>
      </c>
      <c r="C42" s="13" t="s">
        <v>18</v>
      </c>
      <c r="D42" s="13" t="s">
        <v>29</v>
      </c>
      <c r="E42" s="17" t="s">
        <v>156</v>
      </c>
      <c r="F42" s="13" t="s">
        <v>24</v>
      </c>
      <c r="G42" s="19">
        <v>10839</v>
      </c>
    </row>
    <row r="43" spans="1:8" ht="113.25" customHeight="1">
      <c r="A43" s="29" t="s">
        <v>269</v>
      </c>
      <c r="B43" s="13" t="s">
        <v>14</v>
      </c>
      <c r="C43" s="13" t="s">
        <v>18</v>
      </c>
      <c r="D43" s="13" t="s">
        <v>29</v>
      </c>
      <c r="E43" s="17" t="s">
        <v>268</v>
      </c>
      <c r="F43" s="13" t="s">
        <v>32</v>
      </c>
      <c r="G43" s="19">
        <v>1565009</v>
      </c>
    </row>
    <row r="44" spans="1:8" ht="110.25" customHeight="1">
      <c r="A44" s="28" t="s">
        <v>219</v>
      </c>
      <c r="B44" s="13" t="s">
        <v>14</v>
      </c>
      <c r="C44" s="13" t="s">
        <v>18</v>
      </c>
      <c r="D44" s="13" t="s">
        <v>29</v>
      </c>
      <c r="E44" s="17" t="s">
        <v>195</v>
      </c>
      <c r="F44" s="13" t="s">
        <v>32</v>
      </c>
      <c r="G44" s="19">
        <f>4396911.57-576645+237516.91+30091.92+14400+1135.81+26212.6+100893.79+200000</f>
        <v>4430517.6000000006</v>
      </c>
    </row>
    <row r="45" spans="1:8" ht="85.5" customHeight="1">
      <c r="A45" s="28" t="s">
        <v>116</v>
      </c>
      <c r="B45" s="13" t="s">
        <v>14</v>
      </c>
      <c r="C45" s="13" t="s">
        <v>18</v>
      </c>
      <c r="D45" s="13" t="s">
        <v>29</v>
      </c>
      <c r="E45" s="17" t="s">
        <v>117</v>
      </c>
      <c r="F45" s="13" t="s">
        <v>24</v>
      </c>
      <c r="G45" s="19">
        <f>40450+100000</f>
        <v>140450</v>
      </c>
    </row>
    <row r="46" spans="1:8" ht="103.5" customHeight="1">
      <c r="A46" s="28" t="s">
        <v>285</v>
      </c>
      <c r="B46" s="13" t="s">
        <v>14</v>
      </c>
      <c r="C46" s="13" t="s">
        <v>18</v>
      </c>
      <c r="D46" s="13" t="s">
        <v>29</v>
      </c>
      <c r="E46" s="17" t="s">
        <v>284</v>
      </c>
      <c r="F46" s="13" t="s">
        <v>24</v>
      </c>
      <c r="G46" s="19">
        <f>65000+35000-100000</f>
        <v>0</v>
      </c>
    </row>
    <row r="47" spans="1:8" ht="78" customHeight="1">
      <c r="A47" s="28" t="s">
        <v>599</v>
      </c>
      <c r="B47" s="13" t="s">
        <v>14</v>
      </c>
      <c r="C47" s="13" t="s">
        <v>18</v>
      </c>
      <c r="D47" s="13" t="s">
        <v>29</v>
      </c>
      <c r="E47" s="17" t="s">
        <v>598</v>
      </c>
      <c r="F47" s="13" t="s">
        <v>24</v>
      </c>
      <c r="G47" s="19">
        <v>100000</v>
      </c>
    </row>
    <row r="48" spans="1:8" ht="75.75" customHeight="1">
      <c r="A48" s="28" t="s">
        <v>118</v>
      </c>
      <c r="B48" s="13" t="s">
        <v>14</v>
      </c>
      <c r="C48" s="13" t="s">
        <v>18</v>
      </c>
      <c r="D48" s="13" t="s">
        <v>29</v>
      </c>
      <c r="E48" s="17" t="s">
        <v>119</v>
      </c>
      <c r="F48" s="13" t="s">
        <v>24</v>
      </c>
      <c r="G48" s="19">
        <f>150000+444.34+167400+16000+54163+14954</f>
        <v>402961.33999999997</v>
      </c>
    </row>
    <row r="49" spans="1:7" ht="66" customHeight="1">
      <c r="A49" s="28" t="s">
        <v>263</v>
      </c>
      <c r="B49" s="13" t="s">
        <v>14</v>
      </c>
      <c r="C49" s="13" t="s">
        <v>18</v>
      </c>
      <c r="D49" s="13" t="s">
        <v>29</v>
      </c>
      <c r="E49" s="17" t="s">
        <v>264</v>
      </c>
      <c r="F49" s="13" t="s">
        <v>24</v>
      </c>
      <c r="G49" s="19">
        <f>50000+100000+110000+50000+265700+40000</f>
        <v>615700</v>
      </c>
    </row>
    <row r="50" spans="1:7" ht="125.25" customHeight="1">
      <c r="A50" s="30" t="s">
        <v>286</v>
      </c>
      <c r="B50" s="13" t="s">
        <v>14</v>
      </c>
      <c r="C50" s="13" t="s">
        <v>18</v>
      </c>
      <c r="D50" s="13" t="s">
        <v>29</v>
      </c>
      <c r="E50" s="17" t="s">
        <v>289</v>
      </c>
      <c r="F50" s="17">
        <v>100</v>
      </c>
      <c r="G50" s="19">
        <f>6413656.98+628185.7+319315.5+203120.46+88160.19</f>
        <v>7652438.830000001</v>
      </c>
    </row>
    <row r="51" spans="1:7" ht="95.25" customHeight="1">
      <c r="A51" s="30" t="s">
        <v>287</v>
      </c>
      <c r="B51" s="13" t="s">
        <v>14</v>
      </c>
      <c r="C51" s="13" t="s">
        <v>18</v>
      </c>
      <c r="D51" s="13" t="s">
        <v>29</v>
      </c>
      <c r="E51" s="17" t="s">
        <v>289</v>
      </c>
      <c r="F51" s="17">
        <v>200</v>
      </c>
      <c r="G51" s="19">
        <f>4704130+256529.5+5680.96+176287.9+465868.33+397500+95425+110372+25600+197887.76+44500+127961.21+607690.08+2017834.56+80498.77</f>
        <v>9313766.0700000003</v>
      </c>
    </row>
    <row r="52" spans="1:7" ht="78" customHeight="1">
      <c r="A52" s="30" t="s">
        <v>288</v>
      </c>
      <c r="B52" s="13" t="s">
        <v>14</v>
      </c>
      <c r="C52" s="13" t="s">
        <v>18</v>
      </c>
      <c r="D52" s="13" t="s">
        <v>29</v>
      </c>
      <c r="E52" s="17" t="s">
        <v>289</v>
      </c>
      <c r="F52" s="17">
        <v>800</v>
      </c>
      <c r="G52" s="19">
        <f>131325-4719+800+21651.84</f>
        <v>149057.84</v>
      </c>
    </row>
    <row r="53" spans="1:7" ht="81" customHeight="1">
      <c r="A53" s="29" t="s">
        <v>220</v>
      </c>
      <c r="B53" s="13" t="s">
        <v>14</v>
      </c>
      <c r="C53" s="13" t="s">
        <v>18</v>
      </c>
      <c r="D53" s="13" t="s">
        <v>29</v>
      </c>
      <c r="E53" s="17" t="s">
        <v>221</v>
      </c>
      <c r="F53" s="13" t="s">
        <v>24</v>
      </c>
      <c r="G53" s="19">
        <v>29400</v>
      </c>
    </row>
    <row r="54" spans="1:7" ht="87" customHeight="1">
      <c r="A54" s="29" t="s">
        <v>309</v>
      </c>
      <c r="B54" s="13" t="s">
        <v>14</v>
      </c>
      <c r="C54" s="13" t="s">
        <v>18</v>
      </c>
      <c r="D54" s="13" t="s">
        <v>29</v>
      </c>
      <c r="E54" s="17" t="s">
        <v>310</v>
      </c>
      <c r="F54" s="13" t="s">
        <v>24</v>
      </c>
      <c r="G54" s="19">
        <v>15000</v>
      </c>
    </row>
    <row r="55" spans="1:7" ht="86.25" customHeight="1">
      <c r="A55" s="28" t="s">
        <v>120</v>
      </c>
      <c r="B55" s="13" t="s">
        <v>14</v>
      </c>
      <c r="C55" s="13" t="s">
        <v>18</v>
      </c>
      <c r="D55" s="13" t="s">
        <v>29</v>
      </c>
      <c r="E55" s="17" t="s">
        <v>121</v>
      </c>
      <c r="F55" s="13" t="s">
        <v>24</v>
      </c>
      <c r="G55" s="19">
        <f>12000-1500</f>
        <v>10500</v>
      </c>
    </row>
    <row r="56" spans="1:7" ht="107.25" customHeight="1">
      <c r="A56" s="28" t="s">
        <v>166</v>
      </c>
      <c r="B56" s="13" t="s">
        <v>14</v>
      </c>
      <c r="C56" s="13" t="s">
        <v>18</v>
      </c>
      <c r="D56" s="13" t="s">
        <v>29</v>
      </c>
      <c r="E56" s="17" t="s">
        <v>122</v>
      </c>
      <c r="F56" s="13" t="s">
        <v>24</v>
      </c>
      <c r="G56" s="19">
        <v>1500</v>
      </c>
    </row>
    <row r="57" spans="1:7" ht="141.75" customHeight="1">
      <c r="A57" s="28" t="s">
        <v>250</v>
      </c>
      <c r="B57" s="13" t="s">
        <v>14</v>
      </c>
      <c r="C57" s="13" t="s">
        <v>18</v>
      </c>
      <c r="D57" s="13" t="s">
        <v>29</v>
      </c>
      <c r="E57" s="17" t="s">
        <v>240</v>
      </c>
      <c r="F57" s="13" t="s">
        <v>183</v>
      </c>
      <c r="G57" s="19">
        <v>1958.8</v>
      </c>
    </row>
    <row r="58" spans="1:7" ht="201.75" customHeight="1">
      <c r="A58" s="28" t="s">
        <v>251</v>
      </c>
      <c r="B58" s="13" t="s">
        <v>14</v>
      </c>
      <c r="C58" s="13" t="s">
        <v>18</v>
      </c>
      <c r="D58" s="13" t="s">
        <v>29</v>
      </c>
      <c r="E58" s="17" t="s">
        <v>241</v>
      </c>
      <c r="F58" s="13" t="s">
        <v>183</v>
      </c>
      <c r="G58" s="19">
        <v>8247.2000000000007</v>
      </c>
    </row>
    <row r="59" spans="1:7" ht="90" customHeight="1">
      <c r="A59" s="28" t="s">
        <v>252</v>
      </c>
      <c r="B59" s="13" t="s">
        <v>14</v>
      </c>
      <c r="C59" s="13" t="s">
        <v>18</v>
      </c>
      <c r="D59" s="13" t="s">
        <v>29</v>
      </c>
      <c r="E59" s="17" t="s">
        <v>242</v>
      </c>
      <c r="F59" s="13" t="s">
        <v>183</v>
      </c>
      <c r="G59" s="19">
        <v>1958.8</v>
      </c>
    </row>
    <row r="60" spans="1:7" ht="107.25" customHeight="1">
      <c r="A60" s="28" t="s">
        <v>253</v>
      </c>
      <c r="B60" s="13" t="s">
        <v>14</v>
      </c>
      <c r="C60" s="13" t="s">
        <v>18</v>
      </c>
      <c r="D60" s="13" t="s">
        <v>29</v>
      </c>
      <c r="E60" s="17" t="s">
        <v>243</v>
      </c>
      <c r="F60" s="13" t="s">
        <v>183</v>
      </c>
      <c r="G60" s="19">
        <v>1958.8</v>
      </c>
    </row>
    <row r="61" spans="1:7" ht="129" customHeight="1">
      <c r="A61" s="28" t="s">
        <v>254</v>
      </c>
      <c r="B61" s="13" t="s">
        <v>14</v>
      </c>
      <c r="C61" s="13" t="s">
        <v>18</v>
      </c>
      <c r="D61" s="13" t="s">
        <v>29</v>
      </c>
      <c r="E61" s="17" t="s">
        <v>244</v>
      </c>
      <c r="F61" s="13" t="s">
        <v>183</v>
      </c>
      <c r="G61" s="19">
        <v>1958.8</v>
      </c>
    </row>
    <row r="62" spans="1:7" ht="128.25" customHeight="1">
      <c r="A62" s="28" t="s">
        <v>255</v>
      </c>
      <c r="B62" s="13" t="s">
        <v>14</v>
      </c>
      <c r="C62" s="13" t="s">
        <v>18</v>
      </c>
      <c r="D62" s="13" t="s">
        <v>29</v>
      </c>
      <c r="E62" s="17" t="s">
        <v>245</v>
      </c>
      <c r="F62" s="13" t="s">
        <v>183</v>
      </c>
      <c r="G62" s="19">
        <v>1958.8</v>
      </c>
    </row>
    <row r="63" spans="1:7" ht="90.75" customHeight="1">
      <c r="A63" s="28" t="s">
        <v>256</v>
      </c>
      <c r="B63" s="13" t="s">
        <v>14</v>
      </c>
      <c r="C63" s="13" t="s">
        <v>18</v>
      </c>
      <c r="D63" s="13" t="s">
        <v>29</v>
      </c>
      <c r="E63" s="17" t="s">
        <v>246</v>
      </c>
      <c r="F63" s="13" t="s">
        <v>183</v>
      </c>
      <c r="G63" s="19">
        <v>1958.8</v>
      </c>
    </row>
    <row r="64" spans="1:7" ht="121.5" customHeight="1">
      <c r="A64" s="28" t="s">
        <v>571</v>
      </c>
      <c r="B64" s="13" t="s">
        <v>14</v>
      </c>
      <c r="C64" s="13" t="s">
        <v>18</v>
      </c>
      <c r="D64" s="13" t="s">
        <v>29</v>
      </c>
      <c r="E64" s="17" t="s">
        <v>569</v>
      </c>
      <c r="F64" s="13" t="s">
        <v>26</v>
      </c>
      <c r="G64" s="19">
        <v>50000</v>
      </c>
    </row>
    <row r="65" spans="1:7" ht="116.25" customHeight="1">
      <c r="A65" s="28" t="s">
        <v>572</v>
      </c>
      <c r="B65" s="13" t="s">
        <v>14</v>
      </c>
      <c r="C65" s="13" t="s">
        <v>18</v>
      </c>
      <c r="D65" s="13" t="s">
        <v>29</v>
      </c>
      <c r="E65" s="17" t="s">
        <v>570</v>
      </c>
      <c r="F65" s="13" t="s">
        <v>26</v>
      </c>
      <c r="G65" s="19">
        <v>50000</v>
      </c>
    </row>
    <row r="66" spans="1:7" ht="90" customHeight="1">
      <c r="A66" s="28" t="s">
        <v>123</v>
      </c>
      <c r="B66" s="13" t="s">
        <v>14</v>
      </c>
      <c r="C66" s="13" t="s">
        <v>37</v>
      </c>
      <c r="D66" s="13" t="s">
        <v>35</v>
      </c>
      <c r="E66" s="17" t="s">
        <v>124</v>
      </c>
      <c r="F66" s="13" t="s">
        <v>24</v>
      </c>
      <c r="G66" s="19">
        <v>30000</v>
      </c>
    </row>
    <row r="67" spans="1:7" ht="127.5" customHeight="1">
      <c r="A67" s="28" t="s">
        <v>125</v>
      </c>
      <c r="B67" s="13" t="s">
        <v>14</v>
      </c>
      <c r="C67" s="13" t="s">
        <v>37</v>
      </c>
      <c r="D67" s="13" t="s">
        <v>35</v>
      </c>
      <c r="E67" s="17" t="s">
        <v>126</v>
      </c>
      <c r="F67" s="13" t="s">
        <v>24</v>
      </c>
      <c r="G67" s="19">
        <v>4000</v>
      </c>
    </row>
    <row r="68" spans="1:7" ht="89.25" customHeight="1">
      <c r="A68" s="28" t="s">
        <v>214</v>
      </c>
      <c r="B68" s="13" t="s">
        <v>14</v>
      </c>
      <c r="C68" s="13" t="s">
        <v>37</v>
      </c>
      <c r="D68" s="13" t="s">
        <v>35</v>
      </c>
      <c r="E68" s="17" t="s">
        <v>215</v>
      </c>
      <c r="F68" s="13" t="s">
        <v>24</v>
      </c>
      <c r="G68" s="19">
        <f>300000+50000-2148.7</f>
        <v>347851.3</v>
      </c>
    </row>
    <row r="69" spans="1:7" ht="75">
      <c r="A69" s="29" t="s">
        <v>227</v>
      </c>
      <c r="B69" s="13" t="s">
        <v>14</v>
      </c>
      <c r="C69" s="13" t="s">
        <v>37</v>
      </c>
      <c r="D69" s="13" t="s">
        <v>35</v>
      </c>
      <c r="E69" s="17" t="s">
        <v>184</v>
      </c>
      <c r="F69" s="13" t="s">
        <v>183</v>
      </c>
      <c r="G69" s="19">
        <f>171903.31+30410.97</f>
        <v>202314.28</v>
      </c>
    </row>
    <row r="70" spans="1:7" ht="123.75" customHeight="1">
      <c r="A70" s="28" t="s">
        <v>509</v>
      </c>
      <c r="B70" s="13" t="s">
        <v>14</v>
      </c>
      <c r="C70" s="13" t="s">
        <v>22</v>
      </c>
      <c r="D70" s="13" t="s">
        <v>35</v>
      </c>
      <c r="E70" s="17" t="s">
        <v>508</v>
      </c>
      <c r="F70" s="13" t="s">
        <v>24</v>
      </c>
      <c r="G70" s="19">
        <v>30922600</v>
      </c>
    </row>
    <row r="71" spans="1:7" ht="114" customHeight="1">
      <c r="A71" s="28" t="s">
        <v>464</v>
      </c>
      <c r="B71" s="13" t="s">
        <v>400</v>
      </c>
      <c r="C71" s="13" t="s">
        <v>212</v>
      </c>
      <c r="D71" s="13" t="s">
        <v>19</v>
      </c>
      <c r="E71" s="17" t="s">
        <v>462</v>
      </c>
      <c r="F71" s="13" t="s">
        <v>26</v>
      </c>
      <c r="G71" s="19">
        <v>50000</v>
      </c>
    </row>
    <row r="72" spans="1:7" ht="113.25" customHeight="1">
      <c r="A72" s="28" t="s">
        <v>465</v>
      </c>
      <c r="B72" s="13" t="s">
        <v>400</v>
      </c>
      <c r="C72" s="13" t="s">
        <v>212</v>
      </c>
      <c r="D72" s="13" t="s">
        <v>19</v>
      </c>
      <c r="E72" s="17" t="s">
        <v>463</v>
      </c>
      <c r="F72" s="13" t="s">
        <v>26</v>
      </c>
      <c r="G72" s="19">
        <v>50000</v>
      </c>
    </row>
    <row r="73" spans="1:7" ht="120.75" customHeight="1">
      <c r="A73" s="28" t="s">
        <v>535</v>
      </c>
      <c r="B73" s="13" t="s">
        <v>400</v>
      </c>
      <c r="C73" s="13" t="s">
        <v>212</v>
      </c>
      <c r="D73" s="13" t="s">
        <v>19</v>
      </c>
      <c r="E73" s="17" t="s">
        <v>530</v>
      </c>
      <c r="F73" s="17">
        <v>200</v>
      </c>
      <c r="G73" s="19">
        <v>280000</v>
      </c>
    </row>
    <row r="74" spans="1:7" ht="100.5" customHeight="1">
      <c r="A74" s="28" t="s">
        <v>536</v>
      </c>
      <c r="B74" s="13" t="s">
        <v>400</v>
      </c>
      <c r="C74" s="13" t="s">
        <v>212</v>
      </c>
      <c r="D74" s="13" t="s">
        <v>19</v>
      </c>
      <c r="E74" s="17" t="s">
        <v>530</v>
      </c>
      <c r="F74" s="17">
        <v>800</v>
      </c>
      <c r="G74" s="19">
        <v>6000</v>
      </c>
    </row>
    <row r="75" spans="1:7" ht="78.75" customHeight="1">
      <c r="A75" s="28" t="s">
        <v>168</v>
      </c>
      <c r="B75" s="13" t="s">
        <v>14</v>
      </c>
      <c r="C75" s="13" t="s">
        <v>27</v>
      </c>
      <c r="D75" s="13" t="s">
        <v>37</v>
      </c>
      <c r="E75" s="17" t="s">
        <v>135</v>
      </c>
      <c r="F75" s="17">
        <v>200</v>
      </c>
      <c r="G75" s="19">
        <v>6000</v>
      </c>
    </row>
    <row r="76" spans="1:7" ht="77.25" customHeight="1">
      <c r="A76" s="28" t="s">
        <v>133</v>
      </c>
      <c r="B76" s="13" t="s">
        <v>14</v>
      </c>
      <c r="C76" s="13" t="s">
        <v>27</v>
      </c>
      <c r="D76" s="13" t="s">
        <v>37</v>
      </c>
      <c r="E76" s="17" t="s">
        <v>134</v>
      </c>
      <c r="F76" s="13" t="s">
        <v>24</v>
      </c>
      <c r="G76" s="19">
        <f>120696.57-15341.1</f>
        <v>105355.47</v>
      </c>
    </row>
    <row r="77" spans="1:7" ht="136.5" customHeight="1">
      <c r="A77" s="28" t="s">
        <v>402</v>
      </c>
      <c r="B77" s="13" t="s">
        <v>400</v>
      </c>
      <c r="C77" s="13" t="s">
        <v>212</v>
      </c>
      <c r="D77" s="13" t="s">
        <v>37</v>
      </c>
      <c r="E77" s="17" t="s">
        <v>401</v>
      </c>
      <c r="F77" s="13" t="s">
        <v>26</v>
      </c>
      <c r="G77" s="19">
        <v>30000</v>
      </c>
    </row>
    <row r="78" spans="1:7" ht="56.25">
      <c r="A78" s="21" t="s">
        <v>38</v>
      </c>
      <c r="B78" s="13" t="s">
        <v>14</v>
      </c>
      <c r="C78" s="13" t="s">
        <v>39</v>
      </c>
      <c r="D78" s="13" t="s">
        <v>37</v>
      </c>
      <c r="E78" s="16" t="s">
        <v>40</v>
      </c>
      <c r="F78" s="13" t="s">
        <v>32</v>
      </c>
      <c r="G78" s="19">
        <f>4748039.79+59789.3+33101.11+3057.08+3716.78+50468.35+29109.27+44420+222530+19550+19900</f>
        <v>5233681.68</v>
      </c>
    </row>
    <row r="79" spans="1:7" ht="140.25" customHeight="1">
      <c r="A79" s="29" t="s">
        <v>303</v>
      </c>
      <c r="B79" s="13" t="s">
        <v>14</v>
      </c>
      <c r="C79" s="13" t="s">
        <v>39</v>
      </c>
      <c r="D79" s="13" t="s">
        <v>37</v>
      </c>
      <c r="E79" s="16" t="s">
        <v>266</v>
      </c>
      <c r="F79" s="13" t="s">
        <v>32</v>
      </c>
      <c r="G79" s="19">
        <f>1368912-98313+522207.19</f>
        <v>1792806.19</v>
      </c>
    </row>
    <row r="80" spans="1:7" ht="129.75" customHeight="1">
      <c r="A80" s="21" t="s">
        <v>187</v>
      </c>
      <c r="B80" s="13" t="s">
        <v>14</v>
      </c>
      <c r="C80" s="13" t="s">
        <v>39</v>
      </c>
      <c r="D80" s="13" t="s">
        <v>37</v>
      </c>
      <c r="E80" s="16" t="s">
        <v>179</v>
      </c>
      <c r="F80" s="13" t="s">
        <v>32</v>
      </c>
      <c r="G80" s="19">
        <f>13827.39-993.06+5274.82</f>
        <v>18109.150000000001</v>
      </c>
    </row>
    <row r="81" spans="1:7" ht="75" customHeight="1">
      <c r="A81" s="21" t="s">
        <v>445</v>
      </c>
      <c r="B81" s="13" t="s">
        <v>400</v>
      </c>
      <c r="C81" s="13" t="s">
        <v>39</v>
      </c>
      <c r="D81" s="13" t="s">
        <v>37</v>
      </c>
      <c r="E81" s="16" t="s">
        <v>444</v>
      </c>
      <c r="F81" s="13" t="s">
        <v>32</v>
      </c>
      <c r="G81" s="19">
        <v>756000.92</v>
      </c>
    </row>
    <row r="82" spans="1:7" ht="74.25" customHeight="1">
      <c r="A82" s="21" t="s">
        <v>328</v>
      </c>
      <c r="B82" s="13" t="s">
        <v>14</v>
      </c>
      <c r="C82" s="13" t="s">
        <v>39</v>
      </c>
      <c r="D82" s="13" t="s">
        <v>37</v>
      </c>
      <c r="E82" s="16" t="s">
        <v>327</v>
      </c>
      <c r="F82" s="13" t="s">
        <v>32</v>
      </c>
      <c r="G82" s="19">
        <v>6000</v>
      </c>
    </row>
    <row r="83" spans="1:7" ht="78" customHeight="1">
      <c r="A83" s="29" t="s">
        <v>229</v>
      </c>
      <c r="B83" s="13" t="s">
        <v>14</v>
      </c>
      <c r="C83" s="13" t="s">
        <v>39</v>
      </c>
      <c r="D83" s="13" t="s">
        <v>37</v>
      </c>
      <c r="E83" s="17" t="s">
        <v>221</v>
      </c>
      <c r="F83" s="13" t="s">
        <v>32</v>
      </c>
      <c r="G83" s="19">
        <v>10000</v>
      </c>
    </row>
    <row r="84" spans="1:7" ht="78" customHeight="1">
      <c r="A84" s="28" t="s">
        <v>188</v>
      </c>
      <c r="B84" s="13" t="s">
        <v>14</v>
      </c>
      <c r="C84" s="13" t="s">
        <v>39</v>
      </c>
      <c r="D84" s="13" t="s">
        <v>37</v>
      </c>
      <c r="E84" s="17" t="s">
        <v>181</v>
      </c>
      <c r="F84" s="13" t="s">
        <v>32</v>
      </c>
      <c r="G84" s="19">
        <f>18000+15200+17500</f>
        <v>50700</v>
      </c>
    </row>
    <row r="85" spans="1:7" ht="93" customHeight="1">
      <c r="A85" s="31" t="s">
        <v>98</v>
      </c>
      <c r="B85" s="13" t="s">
        <v>14</v>
      </c>
      <c r="C85" s="13" t="s">
        <v>39</v>
      </c>
      <c r="D85" s="13" t="s">
        <v>27</v>
      </c>
      <c r="E85" s="17" t="s">
        <v>87</v>
      </c>
      <c r="F85" s="13" t="s">
        <v>24</v>
      </c>
      <c r="G85" s="19">
        <f>30000+19200-9900+1000</f>
        <v>40300</v>
      </c>
    </row>
    <row r="86" spans="1:7" ht="73.5" customHeight="1">
      <c r="A86" s="21" t="s">
        <v>330</v>
      </c>
      <c r="B86" s="13" t="s">
        <v>14</v>
      </c>
      <c r="C86" s="13" t="s">
        <v>39</v>
      </c>
      <c r="D86" s="13" t="s">
        <v>27</v>
      </c>
      <c r="E86" s="17" t="s">
        <v>329</v>
      </c>
      <c r="F86" s="13" t="s">
        <v>24</v>
      </c>
      <c r="G86" s="19">
        <f>9000+10200</f>
        <v>19200</v>
      </c>
    </row>
    <row r="87" spans="1:7" ht="108" customHeight="1">
      <c r="A87" s="21" t="s">
        <v>127</v>
      </c>
      <c r="B87" s="13" t="s">
        <v>14</v>
      </c>
      <c r="C87" s="13" t="s">
        <v>39</v>
      </c>
      <c r="D87" s="13" t="s">
        <v>39</v>
      </c>
      <c r="E87" s="17" t="s">
        <v>41</v>
      </c>
      <c r="F87" s="13" t="s">
        <v>24</v>
      </c>
      <c r="G87" s="19">
        <v>8000</v>
      </c>
    </row>
    <row r="88" spans="1:7" ht="93.75" customHeight="1">
      <c r="A88" s="21" t="s">
        <v>173</v>
      </c>
      <c r="B88" s="13" t="s">
        <v>14</v>
      </c>
      <c r="C88" s="13" t="s">
        <v>39</v>
      </c>
      <c r="D88" s="13" t="s">
        <v>39</v>
      </c>
      <c r="E88" s="17" t="s">
        <v>41</v>
      </c>
      <c r="F88" s="13" t="s">
        <v>32</v>
      </c>
      <c r="G88" s="19">
        <f>22000-19900</f>
        <v>2100</v>
      </c>
    </row>
    <row r="89" spans="1:7" ht="75">
      <c r="A89" s="21" t="s">
        <v>89</v>
      </c>
      <c r="B89" s="13" t="s">
        <v>14</v>
      </c>
      <c r="C89" s="13" t="s">
        <v>39</v>
      </c>
      <c r="D89" s="13" t="s">
        <v>39</v>
      </c>
      <c r="E89" s="17" t="s">
        <v>128</v>
      </c>
      <c r="F89" s="13" t="s">
        <v>24</v>
      </c>
      <c r="G89" s="19">
        <v>4300</v>
      </c>
    </row>
    <row r="90" spans="1:7" ht="87" customHeight="1">
      <c r="A90" s="21" t="s">
        <v>142</v>
      </c>
      <c r="B90" s="13" t="s">
        <v>14</v>
      </c>
      <c r="C90" s="13" t="s">
        <v>39</v>
      </c>
      <c r="D90" s="13" t="s">
        <v>39</v>
      </c>
      <c r="E90" s="17" t="s">
        <v>143</v>
      </c>
      <c r="F90" s="13" t="s">
        <v>24</v>
      </c>
      <c r="G90" s="19">
        <f>104800-72100</f>
        <v>32700</v>
      </c>
    </row>
    <row r="91" spans="1:7" ht="87" customHeight="1">
      <c r="A91" s="29" t="s">
        <v>257</v>
      </c>
      <c r="B91" s="13" t="s">
        <v>14</v>
      </c>
      <c r="C91" s="13" t="s">
        <v>39</v>
      </c>
      <c r="D91" s="13" t="s">
        <v>39</v>
      </c>
      <c r="E91" s="17" t="s">
        <v>247</v>
      </c>
      <c r="F91" s="13" t="s">
        <v>24</v>
      </c>
      <c r="G91" s="19">
        <f>10000+51450</f>
        <v>61450</v>
      </c>
    </row>
    <row r="92" spans="1:7" ht="69" customHeight="1">
      <c r="A92" s="28" t="s">
        <v>129</v>
      </c>
      <c r="B92" s="13" t="s">
        <v>14</v>
      </c>
      <c r="C92" s="13" t="s">
        <v>39</v>
      </c>
      <c r="D92" s="13" t="s">
        <v>39</v>
      </c>
      <c r="E92" s="17" t="s">
        <v>130</v>
      </c>
      <c r="F92" s="13" t="s">
        <v>24</v>
      </c>
      <c r="G92" s="19">
        <v>10000</v>
      </c>
    </row>
    <row r="93" spans="1:7" ht="68.25" customHeight="1">
      <c r="A93" s="28" t="s">
        <v>131</v>
      </c>
      <c r="B93" s="13" t="s">
        <v>14</v>
      </c>
      <c r="C93" s="13" t="s">
        <v>39</v>
      </c>
      <c r="D93" s="13" t="s">
        <v>39</v>
      </c>
      <c r="E93" s="17" t="s">
        <v>132</v>
      </c>
      <c r="F93" s="13" t="s">
        <v>24</v>
      </c>
      <c r="G93" s="19">
        <v>10000</v>
      </c>
    </row>
    <row r="94" spans="1:7" ht="70.5" customHeight="1">
      <c r="A94" s="28" t="s">
        <v>133</v>
      </c>
      <c r="B94" s="13" t="s">
        <v>14</v>
      </c>
      <c r="C94" s="13" t="s">
        <v>39</v>
      </c>
      <c r="D94" s="13" t="s">
        <v>39</v>
      </c>
      <c r="E94" s="17" t="s">
        <v>134</v>
      </c>
      <c r="F94" s="13" t="s">
        <v>24</v>
      </c>
      <c r="G94" s="19">
        <f>81000-52000+278500-100230</f>
        <v>207270</v>
      </c>
    </row>
    <row r="95" spans="1:7" ht="90" customHeight="1">
      <c r="A95" s="21" t="s">
        <v>90</v>
      </c>
      <c r="B95" s="13" t="s">
        <v>14</v>
      </c>
      <c r="C95" s="13" t="s">
        <v>39</v>
      </c>
      <c r="D95" s="13" t="s">
        <v>39</v>
      </c>
      <c r="E95" s="17" t="s">
        <v>42</v>
      </c>
      <c r="F95" s="13" t="s">
        <v>24</v>
      </c>
      <c r="G95" s="19">
        <v>10000</v>
      </c>
    </row>
    <row r="96" spans="1:7" ht="90" customHeight="1">
      <c r="A96" s="29" t="s">
        <v>224</v>
      </c>
      <c r="B96" s="13" t="s">
        <v>14</v>
      </c>
      <c r="C96" s="13" t="s">
        <v>39</v>
      </c>
      <c r="D96" s="13" t="s">
        <v>39</v>
      </c>
      <c r="E96" s="16" t="s">
        <v>223</v>
      </c>
      <c r="F96" s="13" t="s">
        <v>24</v>
      </c>
      <c r="G96" s="19">
        <v>5000</v>
      </c>
    </row>
    <row r="97" spans="1:7" ht="123.75" customHeight="1">
      <c r="A97" s="21" t="s">
        <v>43</v>
      </c>
      <c r="B97" s="13" t="s">
        <v>14</v>
      </c>
      <c r="C97" s="13" t="s">
        <v>34</v>
      </c>
      <c r="D97" s="13" t="s">
        <v>18</v>
      </c>
      <c r="E97" s="17" t="s">
        <v>44</v>
      </c>
      <c r="F97" s="13" t="s">
        <v>21</v>
      </c>
      <c r="G97" s="19">
        <f>11745074.77+5032.37+297157.71+28702.81+1707437.99</f>
        <v>13783405.65</v>
      </c>
    </row>
    <row r="98" spans="1:7" ht="71.25" customHeight="1">
      <c r="A98" s="21" t="s">
        <v>91</v>
      </c>
      <c r="B98" s="13" t="s">
        <v>14</v>
      </c>
      <c r="C98" s="13" t="s">
        <v>34</v>
      </c>
      <c r="D98" s="13" t="s">
        <v>18</v>
      </c>
      <c r="E98" s="17" t="s">
        <v>44</v>
      </c>
      <c r="F98" s="13" t="s">
        <v>24</v>
      </c>
      <c r="G98" s="19">
        <f>2372724.25+20700+10987.66+76298.65+3594.23+39836.34+42000+24000+34643+22668+74000</f>
        <v>2721452.13</v>
      </c>
    </row>
    <row r="99" spans="1:7" ht="48" customHeight="1">
      <c r="A99" s="21" t="s">
        <v>45</v>
      </c>
      <c r="B99" s="13" t="s">
        <v>14</v>
      </c>
      <c r="C99" s="13" t="s">
        <v>34</v>
      </c>
      <c r="D99" s="13" t="s">
        <v>18</v>
      </c>
      <c r="E99" s="16" t="s">
        <v>44</v>
      </c>
      <c r="F99" s="13" t="s">
        <v>26</v>
      </c>
      <c r="G99" s="19">
        <f>13600+11000</f>
        <v>24600</v>
      </c>
    </row>
    <row r="100" spans="1:7" ht="123.75" customHeight="1">
      <c r="A100" s="21" t="s">
        <v>46</v>
      </c>
      <c r="B100" s="13" t="s">
        <v>14</v>
      </c>
      <c r="C100" s="13" t="s">
        <v>34</v>
      </c>
      <c r="D100" s="13" t="s">
        <v>18</v>
      </c>
      <c r="E100" s="17" t="s">
        <v>47</v>
      </c>
      <c r="F100" s="13" t="s">
        <v>21</v>
      </c>
      <c r="G100" s="19">
        <f>436737.12+19530.03+126164.32</f>
        <v>582431.47</v>
      </c>
    </row>
    <row r="101" spans="1:7" ht="86.25" customHeight="1">
      <c r="A101" s="21" t="s">
        <v>92</v>
      </c>
      <c r="B101" s="13" t="s">
        <v>14</v>
      </c>
      <c r="C101" s="13" t="s">
        <v>34</v>
      </c>
      <c r="D101" s="13" t="s">
        <v>18</v>
      </c>
      <c r="E101" s="16" t="s">
        <v>47</v>
      </c>
      <c r="F101" s="13" t="s">
        <v>24</v>
      </c>
      <c r="G101" s="19">
        <f>363668-7000-22668</f>
        <v>334000</v>
      </c>
    </row>
    <row r="102" spans="1:7" ht="86.25" customHeight="1">
      <c r="A102" s="29" t="s">
        <v>307</v>
      </c>
      <c r="B102" s="13" t="s">
        <v>14</v>
      </c>
      <c r="C102" s="13" t="s">
        <v>34</v>
      </c>
      <c r="D102" s="13" t="s">
        <v>18</v>
      </c>
      <c r="E102" s="16" t="s">
        <v>306</v>
      </c>
      <c r="F102" s="13" t="s">
        <v>24</v>
      </c>
      <c r="G102" s="19">
        <f>200000-27443</f>
        <v>172557</v>
      </c>
    </row>
    <row r="103" spans="1:7" ht="86.25" customHeight="1">
      <c r="A103" s="29" t="s">
        <v>403</v>
      </c>
      <c r="B103" s="13" t="s">
        <v>14</v>
      </c>
      <c r="C103" s="13" t="s">
        <v>34</v>
      </c>
      <c r="D103" s="13" t="s">
        <v>18</v>
      </c>
      <c r="E103" s="17" t="s">
        <v>408</v>
      </c>
      <c r="F103" s="17">
        <v>200</v>
      </c>
      <c r="G103" s="19">
        <f>300000+57700</f>
        <v>357700</v>
      </c>
    </row>
    <row r="104" spans="1:7" ht="86.25" customHeight="1">
      <c r="A104" s="29" t="s">
        <v>404</v>
      </c>
      <c r="B104" s="13" t="s">
        <v>14</v>
      </c>
      <c r="C104" s="13" t="s">
        <v>34</v>
      </c>
      <c r="D104" s="13" t="s">
        <v>18</v>
      </c>
      <c r="E104" s="17" t="s">
        <v>409</v>
      </c>
      <c r="F104" s="17">
        <v>200</v>
      </c>
      <c r="G104" s="19">
        <f>300000+27300</f>
        <v>327300</v>
      </c>
    </row>
    <row r="105" spans="1:7" ht="53.25" customHeight="1">
      <c r="A105" s="29" t="s">
        <v>405</v>
      </c>
      <c r="B105" s="13" t="s">
        <v>14</v>
      </c>
      <c r="C105" s="13" t="s">
        <v>34</v>
      </c>
      <c r="D105" s="13" t="s">
        <v>18</v>
      </c>
      <c r="E105" s="17" t="s">
        <v>410</v>
      </c>
      <c r="F105" s="17">
        <v>200</v>
      </c>
      <c r="G105" s="19">
        <v>41236</v>
      </c>
    </row>
    <row r="106" spans="1:7" ht="59.25" customHeight="1">
      <c r="A106" s="29" t="s">
        <v>406</v>
      </c>
      <c r="B106" s="13" t="s">
        <v>14</v>
      </c>
      <c r="C106" s="13" t="s">
        <v>34</v>
      </c>
      <c r="D106" s="13" t="s">
        <v>18</v>
      </c>
      <c r="E106" s="17" t="s">
        <v>411</v>
      </c>
      <c r="F106" s="17">
        <v>200</v>
      </c>
      <c r="G106" s="19">
        <v>93754.75</v>
      </c>
    </row>
    <row r="107" spans="1:7" ht="86.25" customHeight="1">
      <c r="A107" s="29" t="s">
        <v>407</v>
      </c>
      <c r="B107" s="13" t="s">
        <v>14</v>
      </c>
      <c r="C107" s="13" t="s">
        <v>34</v>
      </c>
      <c r="D107" s="13" t="s">
        <v>18</v>
      </c>
      <c r="E107" s="17" t="s">
        <v>412</v>
      </c>
      <c r="F107" s="17">
        <v>200</v>
      </c>
      <c r="G107" s="19">
        <f>10000-10000</f>
        <v>0</v>
      </c>
    </row>
    <row r="108" spans="1:7" ht="86.25" customHeight="1">
      <c r="A108" s="29" t="s">
        <v>601</v>
      </c>
      <c r="B108" s="13" t="s">
        <v>14</v>
      </c>
      <c r="C108" s="13" t="s">
        <v>34</v>
      </c>
      <c r="D108" s="13" t="s">
        <v>18</v>
      </c>
      <c r="E108" s="17" t="s">
        <v>600</v>
      </c>
      <c r="F108" s="17">
        <v>200</v>
      </c>
      <c r="G108" s="19">
        <v>10000</v>
      </c>
    </row>
    <row r="109" spans="1:7" ht="153.75" customHeight="1">
      <c r="A109" s="29" t="s">
        <v>265</v>
      </c>
      <c r="B109" s="13" t="s">
        <v>14</v>
      </c>
      <c r="C109" s="13" t="s">
        <v>34</v>
      </c>
      <c r="D109" s="13" t="s">
        <v>18</v>
      </c>
      <c r="E109" s="16" t="s">
        <v>267</v>
      </c>
      <c r="F109" s="13" t="s">
        <v>21</v>
      </c>
      <c r="G109" s="19">
        <f>6278565-431968+422682.57</f>
        <v>6269279.5700000003</v>
      </c>
    </row>
    <row r="110" spans="1:7" ht="151.5" customHeight="1">
      <c r="A110" s="29" t="s">
        <v>350</v>
      </c>
      <c r="B110" s="13" t="s">
        <v>14</v>
      </c>
      <c r="C110" s="13" t="s">
        <v>34</v>
      </c>
      <c r="D110" s="13" t="s">
        <v>18</v>
      </c>
      <c r="E110" s="22" t="s">
        <v>48</v>
      </c>
      <c r="F110" s="13" t="s">
        <v>21</v>
      </c>
      <c r="G110" s="19">
        <f>63419.85-4363.31+4269.52</f>
        <v>63326.06</v>
      </c>
    </row>
    <row r="111" spans="1:7" ht="112.5" customHeight="1">
      <c r="A111" s="21" t="s">
        <v>197</v>
      </c>
      <c r="B111" s="13" t="s">
        <v>14</v>
      </c>
      <c r="C111" s="13" t="s">
        <v>34</v>
      </c>
      <c r="D111" s="13" t="s">
        <v>18</v>
      </c>
      <c r="E111" s="17" t="s">
        <v>49</v>
      </c>
      <c r="F111" s="13" t="s">
        <v>24</v>
      </c>
      <c r="G111" s="19">
        <v>220000</v>
      </c>
    </row>
    <row r="112" spans="1:7" ht="100.5" customHeight="1">
      <c r="A112" s="21" t="s">
        <v>358</v>
      </c>
      <c r="B112" s="13" t="s">
        <v>14</v>
      </c>
      <c r="C112" s="13" t="s">
        <v>34</v>
      </c>
      <c r="D112" s="13" t="s">
        <v>18</v>
      </c>
      <c r="E112" s="17" t="s">
        <v>355</v>
      </c>
      <c r="F112" s="13" t="s">
        <v>24</v>
      </c>
      <c r="G112" s="19">
        <f>93723.23-12753-128.82</f>
        <v>80841.409999999989</v>
      </c>
    </row>
    <row r="113" spans="1:7" ht="63.75" customHeight="1">
      <c r="A113" s="21" t="s">
        <v>153</v>
      </c>
      <c r="B113" s="13" t="s">
        <v>14</v>
      </c>
      <c r="C113" s="13" t="s">
        <v>34</v>
      </c>
      <c r="D113" s="13" t="s">
        <v>18</v>
      </c>
      <c r="E113" s="17" t="s">
        <v>151</v>
      </c>
      <c r="F113" s="13" t="s">
        <v>24</v>
      </c>
      <c r="G113" s="19">
        <v>50000</v>
      </c>
    </row>
    <row r="114" spans="1:7" ht="37.5">
      <c r="A114" s="21" t="s">
        <v>93</v>
      </c>
      <c r="B114" s="13" t="s">
        <v>14</v>
      </c>
      <c r="C114" s="13" t="s">
        <v>34</v>
      </c>
      <c r="D114" s="13" t="s">
        <v>18</v>
      </c>
      <c r="E114" s="16" t="s">
        <v>50</v>
      </c>
      <c r="F114" s="13" t="s">
        <v>24</v>
      </c>
      <c r="G114" s="19">
        <v>50000</v>
      </c>
    </row>
    <row r="115" spans="1:7" ht="56.25">
      <c r="A115" s="29" t="s">
        <v>413</v>
      </c>
      <c r="B115" s="13" t="s">
        <v>14</v>
      </c>
      <c r="C115" s="13" t="s">
        <v>34</v>
      </c>
      <c r="D115" s="13" t="s">
        <v>18</v>
      </c>
      <c r="E115" s="17" t="s">
        <v>419</v>
      </c>
      <c r="F115" s="17">
        <v>200</v>
      </c>
      <c r="G115" s="19">
        <v>130000</v>
      </c>
    </row>
    <row r="116" spans="1:7" ht="37.5">
      <c r="A116" s="29" t="s">
        <v>414</v>
      </c>
      <c r="B116" s="13" t="s">
        <v>14</v>
      </c>
      <c r="C116" s="13" t="s">
        <v>34</v>
      </c>
      <c r="D116" s="13" t="s">
        <v>18</v>
      </c>
      <c r="E116" s="17" t="s">
        <v>420</v>
      </c>
      <c r="F116" s="17">
        <v>200</v>
      </c>
      <c r="G116" s="19">
        <f>60000-17405-22000</f>
        <v>20595</v>
      </c>
    </row>
    <row r="117" spans="1:7" ht="37.5">
      <c r="A117" s="29" t="s">
        <v>415</v>
      </c>
      <c r="B117" s="13" t="s">
        <v>14</v>
      </c>
      <c r="C117" s="13" t="s">
        <v>34</v>
      </c>
      <c r="D117" s="13" t="s">
        <v>18</v>
      </c>
      <c r="E117" s="17" t="s">
        <v>421</v>
      </c>
      <c r="F117" s="17">
        <v>200</v>
      </c>
      <c r="G117" s="19">
        <v>185000</v>
      </c>
    </row>
    <row r="118" spans="1:7" ht="37.5">
      <c r="A118" s="29" t="s">
        <v>416</v>
      </c>
      <c r="B118" s="13" t="s">
        <v>14</v>
      </c>
      <c r="C118" s="13" t="s">
        <v>34</v>
      </c>
      <c r="D118" s="13" t="s">
        <v>18</v>
      </c>
      <c r="E118" s="17" t="s">
        <v>422</v>
      </c>
      <c r="F118" s="17">
        <v>200</v>
      </c>
      <c r="G118" s="19">
        <v>249000</v>
      </c>
    </row>
    <row r="119" spans="1:7" ht="56.25">
      <c r="A119" s="29" t="s">
        <v>417</v>
      </c>
      <c r="B119" s="13" t="s">
        <v>14</v>
      </c>
      <c r="C119" s="13" t="s">
        <v>34</v>
      </c>
      <c r="D119" s="13" t="s">
        <v>18</v>
      </c>
      <c r="E119" s="17" t="s">
        <v>423</v>
      </c>
      <c r="F119" s="17">
        <v>200</v>
      </c>
      <c r="G119" s="19">
        <f>50505+17405</f>
        <v>67910</v>
      </c>
    </row>
    <row r="120" spans="1:7" ht="37.5">
      <c r="A120" s="29" t="s">
        <v>418</v>
      </c>
      <c r="B120" s="13" t="s">
        <v>14</v>
      </c>
      <c r="C120" s="13" t="s">
        <v>34</v>
      </c>
      <c r="D120" s="13" t="s">
        <v>18</v>
      </c>
      <c r="E120" s="17" t="s">
        <v>424</v>
      </c>
      <c r="F120" s="17">
        <v>200</v>
      </c>
      <c r="G120" s="19">
        <v>72000</v>
      </c>
    </row>
    <row r="121" spans="1:7" ht="56.25">
      <c r="A121" s="29" t="s">
        <v>442</v>
      </c>
      <c r="B121" s="13" t="s">
        <v>14</v>
      </c>
      <c r="C121" s="13" t="s">
        <v>34</v>
      </c>
      <c r="D121" s="13" t="s">
        <v>18</v>
      </c>
      <c r="E121" s="17" t="s">
        <v>443</v>
      </c>
      <c r="F121" s="17">
        <v>200</v>
      </c>
      <c r="G121" s="19">
        <f>1571020-250880-24000-54200-74000-12302.61-4269.52</f>
        <v>1151367.8699999999</v>
      </c>
    </row>
    <row r="122" spans="1:7" ht="49.5" customHeight="1">
      <c r="A122" s="29" t="s">
        <v>512</v>
      </c>
      <c r="B122" s="13" t="s">
        <v>14</v>
      </c>
      <c r="C122" s="13" t="s">
        <v>34</v>
      </c>
      <c r="D122" s="13" t="s">
        <v>18</v>
      </c>
      <c r="E122" s="17" t="s">
        <v>510</v>
      </c>
      <c r="F122" s="17">
        <v>200</v>
      </c>
      <c r="G122" s="19">
        <v>222680</v>
      </c>
    </row>
    <row r="123" spans="1:7" ht="51.75" customHeight="1">
      <c r="A123" s="29" t="s">
        <v>513</v>
      </c>
      <c r="B123" s="13" t="s">
        <v>14</v>
      </c>
      <c r="C123" s="13" t="s">
        <v>34</v>
      </c>
      <c r="D123" s="13" t="s">
        <v>18</v>
      </c>
      <c r="E123" s="17" t="s">
        <v>511</v>
      </c>
      <c r="F123" s="17">
        <v>200</v>
      </c>
      <c r="G123" s="19">
        <f>28200+30000</f>
        <v>58200</v>
      </c>
    </row>
    <row r="124" spans="1:7" ht="56.25">
      <c r="A124" s="29" t="s">
        <v>447</v>
      </c>
      <c r="B124" s="13" t="s">
        <v>14</v>
      </c>
      <c r="C124" s="13" t="s">
        <v>34</v>
      </c>
      <c r="D124" s="13" t="s">
        <v>18</v>
      </c>
      <c r="E124" s="17" t="s">
        <v>446</v>
      </c>
      <c r="F124" s="17">
        <v>200</v>
      </c>
      <c r="G124" s="19">
        <v>10000000</v>
      </c>
    </row>
    <row r="125" spans="1:7" ht="83.25" customHeight="1">
      <c r="A125" s="29" t="s">
        <v>336</v>
      </c>
      <c r="B125" s="13" t="s">
        <v>14</v>
      </c>
      <c r="C125" s="13" t="s">
        <v>34</v>
      </c>
      <c r="D125" s="13" t="s">
        <v>18</v>
      </c>
      <c r="E125" s="16" t="s">
        <v>335</v>
      </c>
      <c r="F125" s="13" t="s">
        <v>24</v>
      </c>
      <c r="G125" s="19">
        <v>404040.4</v>
      </c>
    </row>
    <row r="126" spans="1:7" ht="68.25" customHeight="1">
      <c r="A126" s="21" t="s">
        <v>290</v>
      </c>
      <c r="B126" s="13" t="s">
        <v>14</v>
      </c>
      <c r="C126" s="13" t="s">
        <v>34</v>
      </c>
      <c r="D126" s="13" t="s">
        <v>18</v>
      </c>
      <c r="E126" s="17" t="s">
        <v>51</v>
      </c>
      <c r="F126" s="13" t="s">
        <v>24</v>
      </c>
      <c r="G126" s="19">
        <v>10000</v>
      </c>
    </row>
    <row r="127" spans="1:7" ht="68.25" customHeight="1">
      <c r="A127" s="21" t="s">
        <v>189</v>
      </c>
      <c r="B127" s="13" t="s">
        <v>14</v>
      </c>
      <c r="C127" s="13" t="s">
        <v>52</v>
      </c>
      <c r="D127" s="13" t="s">
        <v>18</v>
      </c>
      <c r="E127" s="17" t="s">
        <v>182</v>
      </c>
      <c r="F127" s="13" t="s">
        <v>53</v>
      </c>
      <c r="G127" s="19">
        <f>1902599.33+315375.19+36761.23</f>
        <v>2254735.75</v>
      </c>
    </row>
    <row r="128" spans="1:7" ht="95.25" customHeight="1">
      <c r="A128" s="28" t="s">
        <v>515</v>
      </c>
      <c r="B128" s="13" t="s">
        <v>14</v>
      </c>
      <c r="C128" s="13" t="s">
        <v>52</v>
      </c>
      <c r="D128" s="13" t="s">
        <v>37</v>
      </c>
      <c r="E128" s="17" t="s">
        <v>514</v>
      </c>
      <c r="F128" s="13" t="s">
        <v>53</v>
      </c>
      <c r="G128" s="19">
        <v>50000</v>
      </c>
    </row>
    <row r="129" spans="1:7" ht="134.25" customHeight="1">
      <c r="A129" s="28" t="s">
        <v>483</v>
      </c>
      <c r="B129" s="13" t="s">
        <v>14</v>
      </c>
      <c r="C129" s="13" t="s">
        <v>52</v>
      </c>
      <c r="D129" s="13" t="s">
        <v>22</v>
      </c>
      <c r="E129" s="17" t="s">
        <v>485</v>
      </c>
      <c r="F129" s="17">
        <v>800</v>
      </c>
      <c r="G129" s="19">
        <v>30000</v>
      </c>
    </row>
    <row r="130" spans="1:7" ht="130.5" customHeight="1">
      <c r="A130" s="28" t="s">
        <v>484</v>
      </c>
      <c r="B130" s="13" t="s">
        <v>14</v>
      </c>
      <c r="C130" s="13" t="s">
        <v>52</v>
      </c>
      <c r="D130" s="13" t="s">
        <v>22</v>
      </c>
      <c r="E130" s="17" t="s">
        <v>486</v>
      </c>
      <c r="F130" s="17">
        <v>800</v>
      </c>
      <c r="G130" s="19">
        <v>30000</v>
      </c>
    </row>
    <row r="131" spans="1:7" ht="130.5" customHeight="1">
      <c r="A131" s="28" t="s">
        <v>540</v>
      </c>
      <c r="B131" s="13" t="s">
        <v>14</v>
      </c>
      <c r="C131" s="13" t="s">
        <v>52</v>
      </c>
      <c r="D131" s="13" t="s">
        <v>22</v>
      </c>
      <c r="E131" s="17" t="s">
        <v>539</v>
      </c>
      <c r="F131" s="17">
        <v>800</v>
      </c>
      <c r="G131" s="19">
        <v>30000</v>
      </c>
    </row>
    <row r="132" spans="1:7" ht="130.5" customHeight="1">
      <c r="A132" s="28" t="s">
        <v>566</v>
      </c>
      <c r="B132" s="13" t="s">
        <v>14</v>
      </c>
      <c r="C132" s="13" t="s">
        <v>52</v>
      </c>
      <c r="D132" s="13" t="s">
        <v>22</v>
      </c>
      <c r="E132" s="17" t="s">
        <v>565</v>
      </c>
      <c r="F132" s="17">
        <v>800</v>
      </c>
      <c r="G132" s="19">
        <v>30000</v>
      </c>
    </row>
    <row r="133" spans="1:7" ht="130.5" customHeight="1">
      <c r="A133" s="28" t="s">
        <v>574</v>
      </c>
      <c r="B133" s="13" t="s">
        <v>14</v>
      </c>
      <c r="C133" s="13" t="s">
        <v>52</v>
      </c>
      <c r="D133" s="13" t="s">
        <v>22</v>
      </c>
      <c r="E133" s="17" t="s">
        <v>573</v>
      </c>
      <c r="F133" s="17">
        <v>800</v>
      </c>
      <c r="G133" s="19">
        <v>30000</v>
      </c>
    </row>
    <row r="134" spans="1:7" ht="197.25" customHeight="1">
      <c r="A134" s="28" t="s">
        <v>529</v>
      </c>
      <c r="B134" s="13" t="s">
        <v>14</v>
      </c>
      <c r="C134" s="13" t="s">
        <v>52</v>
      </c>
      <c r="D134" s="13" t="s">
        <v>33</v>
      </c>
      <c r="E134" s="17" t="s">
        <v>528</v>
      </c>
      <c r="F134" s="17">
        <v>300</v>
      </c>
      <c r="G134" s="19">
        <f>100000+60000</f>
        <v>160000</v>
      </c>
    </row>
    <row r="135" spans="1:7" ht="87" customHeight="1">
      <c r="A135" s="29" t="s">
        <v>168</v>
      </c>
      <c r="B135" s="13" t="s">
        <v>14</v>
      </c>
      <c r="C135" s="13" t="s">
        <v>28</v>
      </c>
      <c r="D135" s="13" t="s">
        <v>19</v>
      </c>
      <c r="E135" s="17" t="s">
        <v>135</v>
      </c>
      <c r="F135" s="13" t="s">
        <v>24</v>
      </c>
      <c r="G135" s="19">
        <f>100000+292500+61584.6+46900+46000</f>
        <v>546984.6</v>
      </c>
    </row>
    <row r="136" spans="1:7" ht="66" customHeight="1">
      <c r="A136" s="29" t="s">
        <v>248</v>
      </c>
      <c r="B136" s="13" t="s">
        <v>14</v>
      </c>
      <c r="C136" s="13" t="s">
        <v>28</v>
      </c>
      <c r="D136" s="13" t="s">
        <v>19</v>
      </c>
      <c r="E136" s="17" t="s">
        <v>135</v>
      </c>
      <c r="F136" s="13" t="s">
        <v>26</v>
      </c>
      <c r="G136" s="19">
        <f>50000-1725.18-5274.82</f>
        <v>43000</v>
      </c>
    </row>
    <row r="137" spans="1:7" ht="114" customHeight="1">
      <c r="A137" s="30" t="s">
        <v>292</v>
      </c>
      <c r="B137" s="13" t="s">
        <v>14</v>
      </c>
      <c r="C137" s="13" t="s">
        <v>28</v>
      </c>
      <c r="D137" s="13" t="s">
        <v>19</v>
      </c>
      <c r="E137" s="17" t="s">
        <v>291</v>
      </c>
      <c r="F137" s="13" t="s">
        <v>21</v>
      </c>
      <c r="G137" s="19">
        <f>2424272.71+14374.48+37614.9-130323.76+36664.32-29730.02+22571.76</f>
        <v>2375444.3899999997</v>
      </c>
    </row>
    <row r="138" spans="1:7" ht="66" customHeight="1">
      <c r="A138" s="30" t="s">
        <v>293</v>
      </c>
      <c r="B138" s="13" t="s">
        <v>14</v>
      </c>
      <c r="C138" s="13" t="s">
        <v>28</v>
      </c>
      <c r="D138" s="13" t="s">
        <v>19</v>
      </c>
      <c r="E138" s="17" t="s">
        <v>291</v>
      </c>
      <c r="F138" s="13" t="s">
        <v>24</v>
      </c>
      <c r="G138" s="19">
        <f>150000+511.53+1524.71+2187.45+29730.02+27500+120000-9584.6+102995.27-46900+50350+9341.1+48780</f>
        <v>486435.48</v>
      </c>
    </row>
    <row r="139" spans="1:7" ht="51.75" customHeight="1">
      <c r="A139" s="30" t="s">
        <v>294</v>
      </c>
      <c r="B139" s="13" t="s">
        <v>14</v>
      </c>
      <c r="C139" s="13" t="s">
        <v>28</v>
      </c>
      <c r="D139" s="13" t="s">
        <v>19</v>
      </c>
      <c r="E139" s="17" t="s">
        <v>291</v>
      </c>
      <c r="F139" s="13" t="s">
        <v>26</v>
      </c>
      <c r="G139" s="19">
        <v>1500</v>
      </c>
    </row>
    <row r="140" spans="1:7" ht="72" customHeight="1">
      <c r="A140" s="30" t="s">
        <v>467</v>
      </c>
      <c r="B140" s="13" t="s">
        <v>400</v>
      </c>
      <c r="C140" s="13" t="s">
        <v>28</v>
      </c>
      <c r="D140" s="13" t="s">
        <v>19</v>
      </c>
      <c r="E140" s="17" t="s">
        <v>466</v>
      </c>
      <c r="F140" s="13" t="s">
        <v>24</v>
      </c>
      <c r="G140" s="19">
        <v>12000</v>
      </c>
    </row>
    <row r="141" spans="1:7" ht="98.25" customHeight="1">
      <c r="A141" s="30" t="s">
        <v>449</v>
      </c>
      <c r="B141" s="13" t="s">
        <v>400</v>
      </c>
      <c r="C141" s="13" t="s">
        <v>28</v>
      </c>
      <c r="D141" s="13" t="s">
        <v>19</v>
      </c>
      <c r="E141" s="17" t="s">
        <v>448</v>
      </c>
      <c r="F141" s="13" t="s">
        <v>24</v>
      </c>
      <c r="G141" s="19">
        <v>7000</v>
      </c>
    </row>
    <row r="142" spans="1:7" ht="138.75" customHeight="1">
      <c r="A142" s="30" t="s">
        <v>361</v>
      </c>
      <c r="B142" s="13" t="s">
        <v>14</v>
      </c>
      <c r="C142" s="13" t="s">
        <v>28</v>
      </c>
      <c r="D142" s="13" t="s">
        <v>19</v>
      </c>
      <c r="E142" s="17" t="s">
        <v>337</v>
      </c>
      <c r="F142" s="13" t="s">
        <v>21</v>
      </c>
      <c r="G142" s="19">
        <f>60000+130323.76</f>
        <v>190323.76</v>
      </c>
    </row>
    <row r="143" spans="1:7" ht="78.75" customHeight="1">
      <c r="A143" s="30" t="s">
        <v>488</v>
      </c>
      <c r="B143" s="13" t="s">
        <v>14</v>
      </c>
      <c r="C143" s="13" t="s">
        <v>28</v>
      </c>
      <c r="D143" s="13" t="s">
        <v>19</v>
      </c>
      <c r="E143" s="17" t="s">
        <v>487</v>
      </c>
      <c r="F143" s="13" t="s">
        <v>24</v>
      </c>
      <c r="G143" s="19">
        <v>36000</v>
      </c>
    </row>
    <row r="144" spans="1:7" s="7" customFormat="1" ht="50.25" customHeight="1">
      <c r="A144" s="10" t="s">
        <v>351</v>
      </c>
      <c r="B144" s="4" t="s">
        <v>54</v>
      </c>
      <c r="C144" s="4" t="s">
        <v>15</v>
      </c>
      <c r="D144" s="4" t="s">
        <v>15</v>
      </c>
      <c r="E144" s="4" t="s">
        <v>16</v>
      </c>
      <c r="F144" s="4" t="s">
        <v>17</v>
      </c>
      <c r="G144" s="20">
        <f>SUM(G145:G153)</f>
        <v>3980400.16</v>
      </c>
    </row>
    <row r="145" spans="1:7" s="7" customFormat="1" ht="88.5" customHeight="1">
      <c r="A145" s="36" t="s">
        <v>185</v>
      </c>
      <c r="B145" s="13" t="s">
        <v>54</v>
      </c>
      <c r="C145" s="13" t="s">
        <v>18</v>
      </c>
      <c r="D145" s="13" t="s">
        <v>37</v>
      </c>
      <c r="E145" s="13" t="s">
        <v>180</v>
      </c>
      <c r="F145" s="13" t="s">
        <v>24</v>
      </c>
      <c r="G145" s="15">
        <v>4000</v>
      </c>
    </row>
    <row r="146" spans="1:7" s="7" customFormat="1" ht="69.75" customHeight="1">
      <c r="A146" s="28" t="s">
        <v>186</v>
      </c>
      <c r="B146" s="13" t="s">
        <v>54</v>
      </c>
      <c r="C146" s="13" t="s">
        <v>18</v>
      </c>
      <c r="D146" s="13" t="s">
        <v>37</v>
      </c>
      <c r="E146" s="13" t="s">
        <v>181</v>
      </c>
      <c r="F146" s="13" t="s">
        <v>24</v>
      </c>
      <c r="G146" s="15">
        <v>6000</v>
      </c>
    </row>
    <row r="147" spans="1:7" ht="110.25" customHeight="1">
      <c r="A147" s="32" t="s">
        <v>176</v>
      </c>
      <c r="B147" s="13" t="s">
        <v>54</v>
      </c>
      <c r="C147" s="13" t="s">
        <v>18</v>
      </c>
      <c r="D147" s="13" t="s">
        <v>37</v>
      </c>
      <c r="E147" s="17" t="s">
        <v>57</v>
      </c>
      <c r="F147" s="13" t="s">
        <v>21</v>
      </c>
      <c r="G147" s="19">
        <f>1763223.87+40113.34</f>
        <v>1803337.2100000002</v>
      </c>
    </row>
    <row r="148" spans="1:7" ht="59.25" customHeight="1">
      <c r="A148" s="33" t="s">
        <v>99</v>
      </c>
      <c r="B148" s="13" t="s">
        <v>54</v>
      </c>
      <c r="C148" s="13" t="s">
        <v>18</v>
      </c>
      <c r="D148" s="13" t="s">
        <v>37</v>
      </c>
      <c r="E148" s="17" t="s">
        <v>57</v>
      </c>
      <c r="F148" s="13" t="s">
        <v>24</v>
      </c>
      <c r="G148" s="19">
        <f>391446+4950</f>
        <v>396396</v>
      </c>
    </row>
    <row r="149" spans="1:7" ht="44.25" customHeight="1">
      <c r="A149" s="33" t="s">
        <v>100</v>
      </c>
      <c r="B149" s="13" t="s">
        <v>54</v>
      </c>
      <c r="C149" s="24" t="s">
        <v>18</v>
      </c>
      <c r="D149" s="13" t="s">
        <v>37</v>
      </c>
      <c r="E149" s="17" t="s">
        <v>57</v>
      </c>
      <c r="F149" s="13" t="s">
        <v>26</v>
      </c>
      <c r="G149" s="19">
        <v>1000</v>
      </c>
    </row>
    <row r="150" spans="1:7" ht="119.25" customHeight="1">
      <c r="A150" s="32" t="s">
        <v>101</v>
      </c>
      <c r="B150" s="24" t="s">
        <v>54</v>
      </c>
      <c r="C150" s="13" t="s">
        <v>18</v>
      </c>
      <c r="D150" s="24" t="s">
        <v>37</v>
      </c>
      <c r="E150" s="17" t="s">
        <v>58</v>
      </c>
      <c r="F150" s="24" t="s">
        <v>21</v>
      </c>
      <c r="G150" s="19">
        <v>48000</v>
      </c>
    </row>
    <row r="151" spans="1:7" ht="104.25" customHeight="1">
      <c r="A151" s="32" t="s">
        <v>55</v>
      </c>
      <c r="B151" s="13" t="s">
        <v>54</v>
      </c>
      <c r="C151" s="13" t="s">
        <v>18</v>
      </c>
      <c r="D151" s="13" t="s">
        <v>37</v>
      </c>
      <c r="E151" s="17" t="s">
        <v>56</v>
      </c>
      <c r="F151" s="13" t="s">
        <v>21</v>
      </c>
      <c r="G151" s="19">
        <f>1672614.96+38051.99</f>
        <v>1710666.95</v>
      </c>
    </row>
    <row r="152" spans="1:7" ht="84" customHeight="1">
      <c r="A152" s="32" t="s">
        <v>357</v>
      </c>
      <c r="B152" s="13" t="s">
        <v>54</v>
      </c>
      <c r="C152" s="13" t="s">
        <v>18</v>
      </c>
      <c r="D152" s="13" t="s">
        <v>29</v>
      </c>
      <c r="E152" s="17" t="s">
        <v>356</v>
      </c>
      <c r="F152" s="13" t="s">
        <v>53</v>
      </c>
      <c r="G152" s="19">
        <v>5000</v>
      </c>
    </row>
    <row r="153" spans="1:7" ht="73.5" customHeight="1">
      <c r="A153" s="32" t="s">
        <v>359</v>
      </c>
      <c r="B153" s="13" t="s">
        <v>54</v>
      </c>
      <c r="C153" s="13" t="s">
        <v>18</v>
      </c>
      <c r="D153" s="13" t="s">
        <v>29</v>
      </c>
      <c r="E153" s="17" t="s">
        <v>360</v>
      </c>
      <c r="F153" s="13" t="s">
        <v>53</v>
      </c>
      <c r="G153" s="19">
        <v>6000</v>
      </c>
    </row>
    <row r="154" spans="1:7" s="11" customFormat="1" ht="51" customHeight="1">
      <c r="A154" s="10" t="s">
        <v>198</v>
      </c>
      <c r="B154" s="4" t="s">
        <v>59</v>
      </c>
      <c r="C154" s="4" t="s">
        <v>15</v>
      </c>
      <c r="D154" s="4" t="s">
        <v>15</v>
      </c>
      <c r="E154" s="4" t="s">
        <v>16</v>
      </c>
      <c r="F154" s="4" t="s">
        <v>17</v>
      </c>
      <c r="G154" s="20">
        <f>SUM(G155:G160)</f>
        <v>9556215.120000001</v>
      </c>
    </row>
    <row r="155" spans="1:7" ht="144" customHeight="1">
      <c r="A155" s="21" t="s">
        <v>110</v>
      </c>
      <c r="B155" s="13" t="s">
        <v>59</v>
      </c>
      <c r="C155" s="13" t="s">
        <v>18</v>
      </c>
      <c r="D155" s="13" t="s">
        <v>33</v>
      </c>
      <c r="E155" s="17" t="s">
        <v>23</v>
      </c>
      <c r="F155" s="13" t="s">
        <v>21</v>
      </c>
      <c r="G155" s="19">
        <f>8402342.55+191154.6+56123</f>
        <v>8649620.1500000004</v>
      </c>
    </row>
    <row r="156" spans="1:7" ht="109.5" customHeight="1">
      <c r="A156" s="21" t="s">
        <v>111</v>
      </c>
      <c r="B156" s="13" t="s">
        <v>59</v>
      </c>
      <c r="C156" s="13" t="s">
        <v>18</v>
      </c>
      <c r="D156" s="13" t="s">
        <v>33</v>
      </c>
      <c r="E156" s="17" t="s">
        <v>23</v>
      </c>
      <c r="F156" s="13" t="s">
        <v>24</v>
      </c>
      <c r="G156" s="19">
        <f>768780.71+876.91+10348.82+23838.53-13000-4400</f>
        <v>786444.97</v>
      </c>
    </row>
    <row r="157" spans="1:7" ht="84.75" customHeight="1">
      <c r="A157" s="28" t="s">
        <v>186</v>
      </c>
      <c r="B157" s="13" t="s">
        <v>59</v>
      </c>
      <c r="C157" s="13" t="s">
        <v>18</v>
      </c>
      <c r="D157" s="13" t="s">
        <v>33</v>
      </c>
      <c r="E157" s="17" t="s">
        <v>181</v>
      </c>
      <c r="F157" s="13" t="s">
        <v>24</v>
      </c>
      <c r="G157" s="19">
        <f>42400-1200</f>
        <v>41200</v>
      </c>
    </row>
    <row r="158" spans="1:7" ht="84.75" customHeight="1">
      <c r="A158" s="28" t="s">
        <v>449</v>
      </c>
      <c r="B158" s="13" t="s">
        <v>59</v>
      </c>
      <c r="C158" s="13" t="s">
        <v>18</v>
      </c>
      <c r="D158" s="13" t="s">
        <v>33</v>
      </c>
      <c r="E158" s="17" t="s">
        <v>448</v>
      </c>
      <c r="F158" s="13" t="s">
        <v>24</v>
      </c>
      <c r="G158" s="19">
        <v>13000</v>
      </c>
    </row>
    <row r="159" spans="1:7" ht="84.75" customHeight="1">
      <c r="A159" s="28" t="s">
        <v>118</v>
      </c>
      <c r="B159" s="13" t="s">
        <v>59</v>
      </c>
      <c r="C159" s="13" t="s">
        <v>575</v>
      </c>
      <c r="D159" s="13" t="s">
        <v>29</v>
      </c>
      <c r="E159" s="17" t="s">
        <v>119</v>
      </c>
      <c r="F159" s="13" t="s">
        <v>24</v>
      </c>
      <c r="G159" s="19">
        <v>50350</v>
      </c>
    </row>
    <row r="160" spans="1:7" ht="104.25" customHeight="1">
      <c r="A160" s="31" t="s">
        <v>98</v>
      </c>
      <c r="B160" s="13" t="s">
        <v>59</v>
      </c>
      <c r="C160" s="13" t="s">
        <v>39</v>
      </c>
      <c r="D160" s="13" t="s">
        <v>27</v>
      </c>
      <c r="E160" s="17" t="s">
        <v>87</v>
      </c>
      <c r="F160" s="13" t="s">
        <v>24</v>
      </c>
      <c r="G160" s="19">
        <f>8000+7600</f>
        <v>15600</v>
      </c>
    </row>
    <row r="161" spans="1:7" s="11" customFormat="1" ht="37.5">
      <c r="A161" s="10" t="s">
        <v>102</v>
      </c>
      <c r="B161" s="4" t="s">
        <v>60</v>
      </c>
      <c r="C161" s="4" t="s">
        <v>15</v>
      </c>
      <c r="D161" s="4" t="s">
        <v>15</v>
      </c>
      <c r="E161" s="4" t="s">
        <v>16</v>
      </c>
      <c r="F161" s="4" t="s">
        <v>17</v>
      </c>
      <c r="G161" s="12">
        <f>SUM(G162:G266)</f>
        <v>298462199.12000006</v>
      </c>
    </row>
    <row r="162" spans="1:7" ht="93.75">
      <c r="A162" s="21" t="s">
        <v>103</v>
      </c>
      <c r="B162" s="13" t="s">
        <v>60</v>
      </c>
      <c r="C162" s="13" t="s">
        <v>39</v>
      </c>
      <c r="D162" s="13" t="s">
        <v>18</v>
      </c>
      <c r="E162" s="17" t="s">
        <v>62</v>
      </c>
      <c r="F162" s="13" t="s">
        <v>32</v>
      </c>
      <c r="G162" s="19">
        <f>31987789.29+889965.58+3351.77+19765.77+858692.98-98500-225000-1037503.02</f>
        <v>32398562.369999994</v>
      </c>
    </row>
    <row r="163" spans="1:7" ht="89.25" customHeight="1">
      <c r="A163" s="21" t="s">
        <v>137</v>
      </c>
      <c r="B163" s="13" t="s">
        <v>60</v>
      </c>
      <c r="C163" s="13" t="s">
        <v>39</v>
      </c>
      <c r="D163" s="13" t="s">
        <v>18</v>
      </c>
      <c r="E163" s="17" t="s">
        <v>63</v>
      </c>
      <c r="F163" s="13" t="s">
        <v>32</v>
      </c>
      <c r="G163" s="19">
        <v>30000</v>
      </c>
    </row>
    <row r="164" spans="1:7" ht="174" customHeight="1">
      <c r="A164" s="21" t="s">
        <v>262</v>
      </c>
      <c r="B164" s="27" t="s">
        <v>60</v>
      </c>
      <c r="C164" s="16" t="s">
        <v>39</v>
      </c>
      <c r="D164" s="16" t="s">
        <v>18</v>
      </c>
      <c r="E164" s="16" t="s">
        <v>204</v>
      </c>
      <c r="F164" s="16" t="s">
        <v>32</v>
      </c>
      <c r="G164" s="19">
        <f>40826697+713705</f>
        <v>41540402</v>
      </c>
    </row>
    <row r="165" spans="1:7" ht="92.25" customHeight="1">
      <c r="A165" s="21" t="s">
        <v>65</v>
      </c>
      <c r="B165" s="13" t="s">
        <v>60</v>
      </c>
      <c r="C165" s="13" t="s">
        <v>39</v>
      </c>
      <c r="D165" s="13" t="s">
        <v>18</v>
      </c>
      <c r="E165" s="17" t="s">
        <v>64</v>
      </c>
      <c r="F165" s="13" t="s">
        <v>32</v>
      </c>
      <c r="G165" s="19">
        <f>490200+302472.88</f>
        <v>792672.88</v>
      </c>
    </row>
    <row r="166" spans="1:7" ht="107.25" customHeight="1">
      <c r="A166" s="29" t="s">
        <v>426</v>
      </c>
      <c r="B166" s="13" t="s">
        <v>60</v>
      </c>
      <c r="C166" s="13" t="s">
        <v>39</v>
      </c>
      <c r="D166" s="13" t="s">
        <v>18</v>
      </c>
      <c r="E166" s="17" t="s">
        <v>425</v>
      </c>
      <c r="F166" s="17">
        <v>600</v>
      </c>
      <c r="G166" s="19">
        <f>216161.62+25848.72</f>
        <v>242010.34</v>
      </c>
    </row>
    <row r="167" spans="1:7" ht="96.75" customHeight="1">
      <c r="A167" s="29" t="s">
        <v>428</v>
      </c>
      <c r="B167" s="13" t="s">
        <v>60</v>
      </c>
      <c r="C167" s="13" t="s">
        <v>39</v>
      </c>
      <c r="D167" s="13" t="s">
        <v>18</v>
      </c>
      <c r="E167" s="17" t="s">
        <v>427</v>
      </c>
      <c r="F167" s="17">
        <v>600</v>
      </c>
      <c r="G167" s="19">
        <v>63987.5</v>
      </c>
    </row>
    <row r="168" spans="1:7" ht="92.25" customHeight="1">
      <c r="A168" s="29" t="s">
        <v>459</v>
      </c>
      <c r="B168" s="13" t="s">
        <v>60</v>
      </c>
      <c r="C168" s="13" t="s">
        <v>39</v>
      </c>
      <c r="D168" s="13" t="s">
        <v>18</v>
      </c>
      <c r="E168" s="17" t="s">
        <v>458</v>
      </c>
      <c r="F168" s="17">
        <v>600</v>
      </c>
      <c r="G168" s="19">
        <v>234320</v>
      </c>
    </row>
    <row r="169" spans="1:7" ht="95.25" customHeight="1">
      <c r="A169" s="29" t="s">
        <v>490</v>
      </c>
      <c r="B169" s="13" t="s">
        <v>60</v>
      </c>
      <c r="C169" s="13" t="s">
        <v>39</v>
      </c>
      <c r="D169" s="13" t="s">
        <v>18</v>
      </c>
      <c r="E169" s="17" t="s">
        <v>489</v>
      </c>
      <c r="F169" s="17">
        <v>600</v>
      </c>
      <c r="G169" s="19">
        <v>599672.54</v>
      </c>
    </row>
    <row r="170" spans="1:7" ht="95.25" customHeight="1">
      <c r="A170" s="29" t="s">
        <v>531</v>
      </c>
      <c r="B170" s="13" t="s">
        <v>60</v>
      </c>
      <c r="C170" s="13" t="s">
        <v>39</v>
      </c>
      <c r="D170" s="13" t="s">
        <v>18</v>
      </c>
      <c r="E170" s="17" t="s">
        <v>533</v>
      </c>
      <c r="F170" s="17">
        <v>600</v>
      </c>
      <c r="G170" s="19">
        <v>32573.040000000001</v>
      </c>
    </row>
    <row r="171" spans="1:7" ht="95.25" customHeight="1">
      <c r="A171" s="29" t="s">
        <v>532</v>
      </c>
      <c r="B171" s="13" t="s">
        <v>60</v>
      </c>
      <c r="C171" s="13" t="s">
        <v>39</v>
      </c>
      <c r="D171" s="13" t="s">
        <v>18</v>
      </c>
      <c r="E171" s="17" t="s">
        <v>534</v>
      </c>
      <c r="F171" s="17">
        <v>600</v>
      </c>
      <c r="G171" s="19">
        <v>32361.599999999999</v>
      </c>
    </row>
    <row r="172" spans="1:7" ht="95.25" customHeight="1">
      <c r="A172" s="29" t="s">
        <v>577</v>
      </c>
      <c r="B172" s="13" t="s">
        <v>60</v>
      </c>
      <c r="C172" s="13" t="s">
        <v>39</v>
      </c>
      <c r="D172" s="13" t="s">
        <v>18</v>
      </c>
      <c r="E172" s="17" t="s">
        <v>576</v>
      </c>
      <c r="F172" s="17">
        <v>600</v>
      </c>
      <c r="G172" s="19">
        <v>200000</v>
      </c>
    </row>
    <row r="173" spans="1:7" ht="140.25" customHeight="1">
      <c r="A173" s="29" t="s">
        <v>468</v>
      </c>
      <c r="B173" s="13" t="s">
        <v>60</v>
      </c>
      <c r="C173" s="13" t="s">
        <v>39</v>
      </c>
      <c r="D173" s="13" t="s">
        <v>18</v>
      </c>
      <c r="E173" s="22" t="s">
        <v>469</v>
      </c>
      <c r="F173" s="17">
        <v>600</v>
      </c>
      <c r="G173" s="19">
        <f>10000000+101010.1+3587340+36235.76</f>
        <v>13724585.859999999</v>
      </c>
    </row>
    <row r="174" spans="1:7" ht="159.75" customHeight="1">
      <c r="A174" s="21" t="s">
        <v>161</v>
      </c>
      <c r="B174" s="13" t="s">
        <v>60</v>
      </c>
      <c r="C174" s="13" t="s">
        <v>39</v>
      </c>
      <c r="D174" s="13" t="s">
        <v>18</v>
      </c>
      <c r="E174" s="22" t="s">
        <v>160</v>
      </c>
      <c r="F174" s="17">
        <v>600</v>
      </c>
      <c r="G174" s="19">
        <v>439140</v>
      </c>
    </row>
    <row r="175" spans="1:7" ht="131.25">
      <c r="A175" s="21" t="s">
        <v>61</v>
      </c>
      <c r="B175" s="13" t="s">
        <v>60</v>
      </c>
      <c r="C175" s="13" t="s">
        <v>39</v>
      </c>
      <c r="D175" s="13" t="s">
        <v>19</v>
      </c>
      <c r="E175" s="17" t="s">
        <v>62</v>
      </c>
      <c r="F175" s="13" t="s">
        <v>21</v>
      </c>
      <c r="G175" s="19">
        <f>1193595+75229.55</f>
        <v>1268824.55</v>
      </c>
    </row>
    <row r="176" spans="1:7" ht="93.75">
      <c r="A176" s="28" t="s">
        <v>136</v>
      </c>
      <c r="B176" s="13" t="s">
        <v>60</v>
      </c>
      <c r="C176" s="13" t="s">
        <v>39</v>
      </c>
      <c r="D176" s="13" t="s">
        <v>19</v>
      </c>
      <c r="E176" s="17" t="s">
        <v>62</v>
      </c>
      <c r="F176" s="13" t="s">
        <v>24</v>
      </c>
      <c r="G176" s="19">
        <v>366700</v>
      </c>
    </row>
    <row r="177" spans="1:8" ht="153.75" customHeight="1">
      <c r="A177" s="21" t="s">
        <v>138</v>
      </c>
      <c r="B177" s="13" t="s">
        <v>60</v>
      </c>
      <c r="C177" s="13" t="s">
        <v>39</v>
      </c>
      <c r="D177" s="13" t="s">
        <v>19</v>
      </c>
      <c r="E177" s="17" t="s">
        <v>70</v>
      </c>
      <c r="F177" s="13" t="s">
        <v>21</v>
      </c>
      <c r="G177" s="19">
        <f>5404234.36+340037.57</f>
        <v>5744271.9300000006</v>
      </c>
    </row>
    <row r="178" spans="1:8" ht="118.5" customHeight="1">
      <c r="A178" s="21" t="s">
        <v>139</v>
      </c>
      <c r="B178" s="13" t="s">
        <v>60</v>
      </c>
      <c r="C178" s="13" t="s">
        <v>39</v>
      </c>
      <c r="D178" s="13" t="s">
        <v>19</v>
      </c>
      <c r="E178" s="17" t="s">
        <v>70</v>
      </c>
      <c r="F178" s="13" t="s">
        <v>24</v>
      </c>
      <c r="G178" s="19">
        <f>9595032.9+219171+150515.64+6079.45+340282.93+823262.35-700000+98500+840906.75-20000+90000</f>
        <v>11443751.02</v>
      </c>
    </row>
    <row r="179" spans="1:8" ht="93.75">
      <c r="A179" s="21" t="s">
        <v>71</v>
      </c>
      <c r="B179" s="13" t="s">
        <v>60</v>
      </c>
      <c r="C179" s="13" t="s">
        <v>39</v>
      </c>
      <c r="D179" s="13" t="s">
        <v>19</v>
      </c>
      <c r="E179" s="17" t="s">
        <v>70</v>
      </c>
      <c r="F179" s="13" t="s">
        <v>32</v>
      </c>
      <c r="G179" s="19">
        <f>17893113.28+1464806.17+364118.41+69440.4+188743.37+49392.68+4996.32+334480.53+1031633.37-90000</f>
        <v>21310724.530000005</v>
      </c>
    </row>
    <row r="180" spans="1:8" ht="75">
      <c r="A180" s="21" t="s">
        <v>104</v>
      </c>
      <c r="B180" s="13" t="s">
        <v>60</v>
      </c>
      <c r="C180" s="13" t="s">
        <v>39</v>
      </c>
      <c r="D180" s="13" t="s">
        <v>19</v>
      </c>
      <c r="E180" s="17" t="s">
        <v>70</v>
      </c>
      <c r="F180" s="13" t="s">
        <v>26</v>
      </c>
      <c r="G180" s="19">
        <f>297748.4-163939.4-25299.91+20000</f>
        <v>128509.09000000003</v>
      </c>
    </row>
    <row r="181" spans="1:8" ht="75">
      <c r="A181" s="21" t="s">
        <v>451</v>
      </c>
      <c r="B181" s="13" t="s">
        <v>60</v>
      </c>
      <c r="C181" s="13" t="s">
        <v>39</v>
      </c>
      <c r="D181" s="13" t="s">
        <v>19</v>
      </c>
      <c r="E181" s="17" t="s">
        <v>450</v>
      </c>
      <c r="F181" s="13" t="s">
        <v>24</v>
      </c>
      <c r="G181" s="19">
        <f>60000+50000</f>
        <v>110000</v>
      </c>
    </row>
    <row r="182" spans="1:8" ht="274.5" customHeight="1">
      <c r="A182" s="29" t="s">
        <v>429</v>
      </c>
      <c r="B182" s="13" t="s">
        <v>60</v>
      </c>
      <c r="C182" s="13" t="s">
        <v>39</v>
      </c>
      <c r="D182" s="13" t="s">
        <v>19</v>
      </c>
      <c r="E182" s="16" t="s">
        <v>430</v>
      </c>
      <c r="F182" s="17">
        <v>100</v>
      </c>
      <c r="G182" s="19">
        <f>4765320-1171800-312480+156240</f>
        <v>3437280</v>
      </c>
    </row>
    <row r="183" spans="1:8" ht="275.25" customHeight="1">
      <c r="A183" s="29" t="s">
        <v>431</v>
      </c>
      <c r="B183" s="13" t="s">
        <v>60</v>
      </c>
      <c r="C183" s="13" t="s">
        <v>39</v>
      </c>
      <c r="D183" s="13" t="s">
        <v>19</v>
      </c>
      <c r="E183" s="16" t="s">
        <v>430</v>
      </c>
      <c r="F183" s="17">
        <v>600</v>
      </c>
      <c r="G183" s="19">
        <f>3906000+1171800</f>
        <v>5077800</v>
      </c>
    </row>
    <row r="184" spans="1:8" ht="225">
      <c r="A184" s="21" t="s">
        <v>206</v>
      </c>
      <c r="B184" s="13" t="s">
        <v>60</v>
      </c>
      <c r="C184" s="13" t="s">
        <v>39</v>
      </c>
      <c r="D184" s="13" t="s">
        <v>19</v>
      </c>
      <c r="E184" s="17" t="s">
        <v>205</v>
      </c>
      <c r="F184" s="13" t="s">
        <v>21</v>
      </c>
      <c r="G184" s="19">
        <v>32985658.5</v>
      </c>
      <c r="H184" s="34"/>
    </row>
    <row r="185" spans="1:8" ht="207" customHeight="1">
      <c r="A185" s="21" t="s">
        <v>207</v>
      </c>
      <c r="B185" s="13" t="s">
        <v>60</v>
      </c>
      <c r="C185" s="13" t="s">
        <v>39</v>
      </c>
      <c r="D185" s="13" t="s">
        <v>19</v>
      </c>
      <c r="E185" s="17" t="s">
        <v>205</v>
      </c>
      <c r="F185" s="13" t="s">
        <v>24</v>
      </c>
      <c r="G185" s="19">
        <v>462262</v>
      </c>
      <c r="H185" s="34"/>
    </row>
    <row r="186" spans="1:8" ht="207.75" customHeight="1">
      <c r="A186" s="21" t="s">
        <v>208</v>
      </c>
      <c r="B186" s="13" t="s">
        <v>60</v>
      </c>
      <c r="C186" s="13" t="s">
        <v>39</v>
      </c>
      <c r="D186" s="13" t="s">
        <v>19</v>
      </c>
      <c r="E186" s="17" t="s">
        <v>205</v>
      </c>
      <c r="F186" s="13" t="s">
        <v>32</v>
      </c>
      <c r="G186" s="19">
        <v>58959438.25</v>
      </c>
      <c r="H186" s="34"/>
    </row>
    <row r="187" spans="1:8" ht="207.75" customHeight="1">
      <c r="A187" s="29" t="s">
        <v>579</v>
      </c>
      <c r="B187" s="13" t="s">
        <v>60</v>
      </c>
      <c r="C187" s="13" t="s">
        <v>39</v>
      </c>
      <c r="D187" s="13" t="s">
        <v>19</v>
      </c>
      <c r="E187" s="17" t="s">
        <v>578</v>
      </c>
      <c r="F187" s="13" t="s">
        <v>21</v>
      </c>
      <c r="G187" s="19">
        <v>718704</v>
      </c>
      <c r="H187" s="34"/>
    </row>
    <row r="188" spans="1:8" ht="198" customHeight="1">
      <c r="A188" s="29" t="s">
        <v>580</v>
      </c>
      <c r="B188" s="13" t="s">
        <v>60</v>
      </c>
      <c r="C188" s="13" t="s">
        <v>39</v>
      </c>
      <c r="D188" s="13" t="s">
        <v>19</v>
      </c>
      <c r="E188" s="17" t="s">
        <v>578</v>
      </c>
      <c r="F188" s="13" t="s">
        <v>32</v>
      </c>
      <c r="G188" s="19">
        <v>984312</v>
      </c>
      <c r="H188" s="34"/>
    </row>
    <row r="189" spans="1:8" ht="81" customHeight="1">
      <c r="A189" s="21" t="s">
        <v>66</v>
      </c>
      <c r="B189" s="13" t="s">
        <v>60</v>
      </c>
      <c r="C189" s="13" t="s">
        <v>39</v>
      </c>
      <c r="D189" s="13" t="s">
        <v>19</v>
      </c>
      <c r="E189" s="17" t="s">
        <v>67</v>
      </c>
      <c r="F189" s="13" t="s">
        <v>32</v>
      </c>
      <c r="G189" s="19">
        <f>4973200.4+300918.2</f>
        <v>5274118.6000000006</v>
      </c>
    </row>
    <row r="190" spans="1:8" ht="90.75" customHeight="1">
      <c r="A190" s="21" t="s">
        <v>94</v>
      </c>
      <c r="B190" s="13" t="s">
        <v>60</v>
      </c>
      <c r="C190" s="13" t="s">
        <v>39</v>
      </c>
      <c r="D190" s="13" t="s">
        <v>19</v>
      </c>
      <c r="E190" s="17" t="s">
        <v>68</v>
      </c>
      <c r="F190" s="13" t="s">
        <v>24</v>
      </c>
      <c r="G190" s="19">
        <f>443200-178274.22</f>
        <v>264925.78000000003</v>
      </c>
    </row>
    <row r="191" spans="1:8" ht="75">
      <c r="A191" s="21" t="s">
        <v>69</v>
      </c>
      <c r="B191" s="13" t="s">
        <v>60</v>
      </c>
      <c r="C191" s="13" t="s">
        <v>39</v>
      </c>
      <c r="D191" s="13" t="s">
        <v>19</v>
      </c>
      <c r="E191" s="17" t="s">
        <v>68</v>
      </c>
      <c r="F191" s="13" t="s">
        <v>32</v>
      </c>
      <c r="G191" s="19">
        <f>415000-58599.07</f>
        <v>356400.93</v>
      </c>
    </row>
    <row r="192" spans="1:8" ht="85.5" customHeight="1">
      <c r="A192" s="30" t="s">
        <v>433</v>
      </c>
      <c r="B192" s="13" t="s">
        <v>60</v>
      </c>
      <c r="C192" s="13" t="s">
        <v>39</v>
      </c>
      <c r="D192" s="13" t="s">
        <v>19</v>
      </c>
      <c r="E192" s="17" t="s">
        <v>432</v>
      </c>
      <c r="F192" s="13" t="s">
        <v>24</v>
      </c>
      <c r="G192" s="19">
        <v>4573.21</v>
      </c>
    </row>
    <row r="193" spans="1:8" ht="93.75" customHeight="1">
      <c r="A193" s="30" t="s">
        <v>304</v>
      </c>
      <c r="B193" s="13" t="s">
        <v>60</v>
      </c>
      <c r="C193" s="13" t="s">
        <v>39</v>
      </c>
      <c r="D193" s="13" t="s">
        <v>19</v>
      </c>
      <c r="E193" s="17" t="s">
        <v>305</v>
      </c>
      <c r="F193" s="17">
        <v>600</v>
      </c>
      <c r="G193" s="19">
        <f>1346400-311240</f>
        <v>1035160</v>
      </c>
    </row>
    <row r="194" spans="1:8" ht="93.75" customHeight="1">
      <c r="A194" s="30" t="s">
        <v>453</v>
      </c>
      <c r="B194" s="13" t="s">
        <v>60</v>
      </c>
      <c r="C194" s="13" t="s">
        <v>39</v>
      </c>
      <c r="D194" s="13" t="s">
        <v>19</v>
      </c>
      <c r="E194" s="17" t="s">
        <v>452</v>
      </c>
      <c r="F194" s="17">
        <v>200</v>
      </c>
      <c r="G194" s="19">
        <v>598303.5</v>
      </c>
    </row>
    <row r="195" spans="1:8" ht="72" customHeight="1">
      <c r="A195" s="30" t="s">
        <v>461</v>
      </c>
      <c r="B195" s="13" t="s">
        <v>60</v>
      </c>
      <c r="C195" s="13" t="s">
        <v>39</v>
      </c>
      <c r="D195" s="13" t="s">
        <v>19</v>
      </c>
      <c r="E195" s="17" t="s">
        <v>460</v>
      </c>
      <c r="F195" s="17">
        <v>200</v>
      </c>
      <c r="G195" s="19">
        <v>369600</v>
      </c>
    </row>
    <row r="196" spans="1:8" ht="57" customHeight="1">
      <c r="A196" s="30" t="s">
        <v>472</v>
      </c>
      <c r="B196" s="13" t="s">
        <v>60</v>
      </c>
      <c r="C196" s="13" t="s">
        <v>39</v>
      </c>
      <c r="D196" s="13" t="s">
        <v>19</v>
      </c>
      <c r="E196" s="17" t="s">
        <v>470</v>
      </c>
      <c r="F196" s="17">
        <v>200</v>
      </c>
      <c r="G196" s="19">
        <v>264108</v>
      </c>
    </row>
    <row r="197" spans="1:8" ht="72" customHeight="1">
      <c r="A197" s="30" t="s">
        <v>473</v>
      </c>
      <c r="B197" s="13" t="s">
        <v>60</v>
      </c>
      <c r="C197" s="13" t="s">
        <v>39</v>
      </c>
      <c r="D197" s="13" t="s">
        <v>19</v>
      </c>
      <c r="E197" s="17" t="s">
        <v>470</v>
      </c>
      <c r="F197" s="17">
        <v>600</v>
      </c>
      <c r="G197" s="19">
        <v>290976</v>
      </c>
    </row>
    <row r="198" spans="1:8" ht="91.5" customHeight="1">
      <c r="A198" s="30" t="s">
        <v>474</v>
      </c>
      <c r="B198" s="13" t="s">
        <v>60</v>
      </c>
      <c r="C198" s="13" t="s">
        <v>39</v>
      </c>
      <c r="D198" s="13" t="s">
        <v>19</v>
      </c>
      <c r="E198" s="17" t="s">
        <v>471</v>
      </c>
      <c r="F198" s="17">
        <v>200</v>
      </c>
      <c r="G198" s="19">
        <f>664040-64157.79</f>
        <v>599882.21</v>
      </c>
    </row>
    <row r="199" spans="1:8" ht="70.5" customHeight="1">
      <c r="A199" s="30" t="s">
        <v>494</v>
      </c>
      <c r="B199" s="13" t="s">
        <v>60</v>
      </c>
      <c r="C199" s="13" t="s">
        <v>39</v>
      </c>
      <c r="D199" s="13" t="s">
        <v>19</v>
      </c>
      <c r="E199" s="17" t="s">
        <v>493</v>
      </c>
      <c r="F199" s="17">
        <v>600</v>
      </c>
      <c r="G199" s="19">
        <v>150000</v>
      </c>
    </row>
    <row r="200" spans="1:8" ht="94.5" customHeight="1">
      <c r="A200" s="30" t="s">
        <v>497</v>
      </c>
      <c r="B200" s="13" t="s">
        <v>495</v>
      </c>
      <c r="C200" s="13" t="s">
        <v>39</v>
      </c>
      <c r="D200" s="13" t="s">
        <v>19</v>
      </c>
      <c r="E200" s="17" t="s">
        <v>496</v>
      </c>
      <c r="F200" s="17">
        <v>600</v>
      </c>
      <c r="G200" s="19">
        <v>599997.78</v>
      </c>
    </row>
    <row r="201" spans="1:8" ht="94.5" customHeight="1">
      <c r="A201" s="30" t="s">
        <v>558</v>
      </c>
      <c r="B201" s="13" t="s">
        <v>60</v>
      </c>
      <c r="C201" s="13" t="s">
        <v>39</v>
      </c>
      <c r="D201" s="13" t="s">
        <v>19</v>
      </c>
      <c r="E201" s="17" t="s">
        <v>557</v>
      </c>
      <c r="F201" s="17">
        <v>600</v>
      </c>
      <c r="G201" s="19">
        <v>261500</v>
      </c>
    </row>
    <row r="202" spans="1:8" ht="94.5" customHeight="1">
      <c r="A202" s="30" t="s">
        <v>564</v>
      </c>
      <c r="B202" s="13" t="s">
        <v>60</v>
      </c>
      <c r="C202" s="13" t="s">
        <v>39</v>
      </c>
      <c r="D202" s="13" t="s">
        <v>19</v>
      </c>
      <c r="E202" s="17" t="s">
        <v>563</v>
      </c>
      <c r="F202" s="17">
        <v>200</v>
      </c>
      <c r="G202" s="19">
        <v>1196219.17</v>
      </c>
    </row>
    <row r="203" spans="1:8" ht="409.5" customHeight="1">
      <c r="A203" s="30" t="s">
        <v>434</v>
      </c>
      <c r="B203" s="13" t="s">
        <v>60</v>
      </c>
      <c r="C203" s="13" t="s">
        <v>39</v>
      </c>
      <c r="D203" s="13" t="s">
        <v>19</v>
      </c>
      <c r="E203" s="17" t="s">
        <v>377</v>
      </c>
      <c r="F203" s="38">
        <v>200</v>
      </c>
      <c r="G203" s="19">
        <f>710488.64-600000</f>
        <v>110488.64000000001</v>
      </c>
    </row>
    <row r="204" spans="1:8" ht="409.5" customHeight="1">
      <c r="A204" s="30" t="s">
        <v>435</v>
      </c>
      <c r="B204" s="13" t="s">
        <v>60</v>
      </c>
      <c r="C204" s="13" t="s">
        <v>39</v>
      </c>
      <c r="D204" s="13" t="s">
        <v>19</v>
      </c>
      <c r="E204" s="17" t="s">
        <v>377</v>
      </c>
      <c r="F204" s="37">
        <v>600</v>
      </c>
      <c r="G204" s="19">
        <f>700000-170679.36</f>
        <v>529320.64</v>
      </c>
    </row>
    <row r="205" spans="1:8" ht="132.75" customHeight="1">
      <c r="A205" s="30" t="s">
        <v>352</v>
      </c>
      <c r="B205" s="13" t="s">
        <v>60</v>
      </c>
      <c r="C205" s="13" t="s">
        <v>39</v>
      </c>
      <c r="D205" s="13" t="s">
        <v>19</v>
      </c>
      <c r="E205" s="17" t="s">
        <v>297</v>
      </c>
      <c r="F205" s="17">
        <v>200</v>
      </c>
      <c r="G205" s="19">
        <f>969628.6+685.6</f>
        <v>970314.2</v>
      </c>
      <c r="H205" s="34"/>
    </row>
    <row r="206" spans="1:8" ht="159" customHeight="1">
      <c r="A206" s="30" t="s">
        <v>353</v>
      </c>
      <c r="B206" s="13" t="s">
        <v>60</v>
      </c>
      <c r="C206" s="13" t="s">
        <v>39</v>
      </c>
      <c r="D206" s="13" t="s">
        <v>19</v>
      </c>
      <c r="E206" s="17" t="s">
        <v>297</v>
      </c>
      <c r="F206" s="17">
        <v>600</v>
      </c>
      <c r="G206" s="19">
        <f>7393199.26+5227.51</f>
        <v>7398426.7699999996</v>
      </c>
    </row>
    <row r="207" spans="1:8" ht="168" customHeight="1">
      <c r="A207" s="30" t="s">
        <v>455</v>
      </c>
      <c r="B207" s="13" t="s">
        <v>60</v>
      </c>
      <c r="C207" s="13" t="s">
        <v>39</v>
      </c>
      <c r="D207" s="13" t="s">
        <v>19</v>
      </c>
      <c r="E207" s="17" t="s">
        <v>454</v>
      </c>
      <c r="F207" s="17">
        <v>600</v>
      </c>
      <c r="G207" s="19">
        <v>213533.43</v>
      </c>
    </row>
    <row r="208" spans="1:8" ht="84" customHeight="1">
      <c r="A208" s="29" t="s">
        <v>555</v>
      </c>
      <c r="B208" s="13" t="s">
        <v>60</v>
      </c>
      <c r="C208" s="13" t="s">
        <v>39</v>
      </c>
      <c r="D208" s="13" t="s">
        <v>19</v>
      </c>
      <c r="E208" s="17" t="s">
        <v>553</v>
      </c>
      <c r="F208" s="17">
        <v>600</v>
      </c>
      <c r="G208" s="19">
        <v>5000</v>
      </c>
    </row>
    <row r="209" spans="1:7" ht="87.75" customHeight="1">
      <c r="A209" s="29" t="s">
        <v>556</v>
      </c>
      <c r="B209" s="13" t="s">
        <v>60</v>
      </c>
      <c r="C209" s="13" t="s">
        <v>39</v>
      </c>
      <c r="D209" s="13" t="s">
        <v>19</v>
      </c>
      <c r="E209" s="17" t="s">
        <v>554</v>
      </c>
      <c r="F209" s="17">
        <v>600</v>
      </c>
      <c r="G209" s="19">
        <v>20000</v>
      </c>
    </row>
    <row r="210" spans="1:7" ht="117" customHeight="1">
      <c r="A210" s="21" t="s">
        <v>171</v>
      </c>
      <c r="B210" s="13" t="s">
        <v>60</v>
      </c>
      <c r="C210" s="13" t="s">
        <v>39</v>
      </c>
      <c r="D210" s="13" t="s">
        <v>19</v>
      </c>
      <c r="E210" s="17" t="s">
        <v>74</v>
      </c>
      <c r="F210" s="13" t="s">
        <v>24</v>
      </c>
      <c r="G210" s="19">
        <v>20000</v>
      </c>
    </row>
    <row r="211" spans="1:7" ht="111" customHeight="1">
      <c r="A211" s="21" t="s">
        <v>170</v>
      </c>
      <c r="B211" s="13" t="s">
        <v>60</v>
      </c>
      <c r="C211" s="13" t="s">
        <v>39</v>
      </c>
      <c r="D211" s="13" t="s">
        <v>19</v>
      </c>
      <c r="E211" s="17" t="s">
        <v>74</v>
      </c>
      <c r="F211" s="13" t="s">
        <v>32</v>
      </c>
      <c r="G211" s="19">
        <v>20000</v>
      </c>
    </row>
    <row r="212" spans="1:7" ht="90.75" customHeight="1">
      <c r="A212" s="21" t="s">
        <v>366</v>
      </c>
      <c r="B212" s="13" t="s">
        <v>60</v>
      </c>
      <c r="C212" s="13" t="s">
        <v>39</v>
      </c>
      <c r="D212" s="13" t="s">
        <v>19</v>
      </c>
      <c r="E212" s="17" t="s">
        <v>30</v>
      </c>
      <c r="F212" s="13" t="s">
        <v>32</v>
      </c>
      <c r="G212" s="19">
        <v>110000</v>
      </c>
    </row>
    <row r="213" spans="1:7" ht="90" customHeight="1">
      <c r="A213" s="30" t="s">
        <v>259</v>
      </c>
      <c r="B213" s="13" t="s">
        <v>60</v>
      </c>
      <c r="C213" s="13" t="s">
        <v>39</v>
      </c>
      <c r="D213" s="13" t="s">
        <v>19</v>
      </c>
      <c r="E213" s="17" t="s">
        <v>181</v>
      </c>
      <c r="F213" s="13" t="s">
        <v>24</v>
      </c>
      <c r="G213" s="19">
        <v>70000</v>
      </c>
    </row>
    <row r="214" spans="1:7" ht="92.25" customHeight="1">
      <c r="A214" s="30" t="s">
        <v>260</v>
      </c>
      <c r="B214" s="13" t="s">
        <v>60</v>
      </c>
      <c r="C214" s="13" t="s">
        <v>39</v>
      </c>
      <c r="D214" s="13" t="s">
        <v>19</v>
      </c>
      <c r="E214" s="17" t="s">
        <v>181</v>
      </c>
      <c r="F214" s="13" t="s">
        <v>32</v>
      </c>
      <c r="G214" s="19">
        <v>90000</v>
      </c>
    </row>
    <row r="215" spans="1:7" ht="132" customHeight="1">
      <c r="A215" s="30" t="s">
        <v>519</v>
      </c>
      <c r="B215" s="13" t="s">
        <v>60</v>
      </c>
      <c r="C215" s="13" t="s">
        <v>39</v>
      </c>
      <c r="D215" s="13" t="s">
        <v>19</v>
      </c>
      <c r="E215" s="17" t="s">
        <v>518</v>
      </c>
      <c r="F215" s="13" t="s">
        <v>21</v>
      </c>
      <c r="G215" s="19">
        <f>21700.12+43400.24</f>
        <v>65100.36</v>
      </c>
    </row>
    <row r="216" spans="1:7" ht="74.25" customHeight="1">
      <c r="A216" s="21" t="s">
        <v>72</v>
      </c>
      <c r="B216" s="13" t="s">
        <v>60</v>
      </c>
      <c r="C216" s="13" t="s">
        <v>39</v>
      </c>
      <c r="D216" s="13" t="s">
        <v>37</v>
      </c>
      <c r="E216" s="17" t="s">
        <v>73</v>
      </c>
      <c r="F216" s="13" t="s">
        <v>32</v>
      </c>
      <c r="G216" s="19">
        <f>10461406.55-1730430+255028.17+6139.69+98726.99-25000</f>
        <v>9065871.4000000004</v>
      </c>
    </row>
    <row r="217" spans="1:7" ht="126" customHeight="1">
      <c r="A217" s="29" t="s">
        <v>300</v>
      </c>
      <c r="B217" s="13" t="s">
        <v>60</v>
      </c>
      <c r="C217" s="13" t="s">
        <v>39</v>
      </c>
      <c r="D217" s="13" t="s">
        <v>37</v>
      </c>
      <c r="E217" s="17" t="s">
        <v>298</v>
      </c>
      <c r="F217" s="13" t="s">
        <v>32</v>
      </c>
      <c r="G217" s="19">
        <f>2173267.12-189.57-6138.92-4796.39-11484.03-668600.04</f>
        <v>1482058.1700000004</v>
      </c>
    </row>
    <row r="218" spans="1:7" ht="127.5" customHeight="1">
      <c r="A218" s="29" t="s">
        <v>301</v>
      </c>
      <c r="B218" s="13" t="s">
        <v>60</v>
      </c>
      <c r="C218" s="13" t="s">
        <v>39</v>
      </c>
      <c r="D218" s="13" t="s">
        <v>37</v>
      </c>
      <c r="E218" s="17" t="s">
        <v>299</v>
      </c>
      <c r="F218" s="13" t="s">
        <v>32</v>
      </c>
      <c r="G218" s="19">
        <f>2345721.71+945518.78</f>
        <v>3291240.49</v>
      </c>
    </row>
    <row r="219" spans="1:7" ht="117" customHeight="1">
      <c r="A219" s="21" t="s">
        <v>236</v>
      </c>
      <c r="B219" s="13" t="s">
        <v>60</v>
      </c>
      <c r="C219" s="13" t="s">
        <v>39</v>
      </c>
      <c r="D219" s="13" t="s">
        <v>37</v>
      </c>
      <c r="E219" s="17" t="s">
        <v>209</v>
      </c>
      <c r="F219" s="13" t="s">
        <v>32</v>
      </c>
      <c r="G219" s="19">
        <f>23694.16+4796.39+11484.03</f>
        <v>39974.58</v>
      </c>
    </row>
    <row r="220" spans="1:7" ht="75">
      <c r="A220" s="21" t="s">
        <v>191</v>
      </c>
      <c r="B220" s="13" t="s">
        <v>60</v>
      </c>
      <c r="C220" s="13" t="s">
        <v>39</v>
      </c>
      <c r="D220" s="13" t="s">
        <v>37</v>
      </c>
      <c r="E220" s="17" t="s">
        <v>177</v>
      </c>
      <c r="F220" s="13" t="s">
        <v>32</v>
      </c>
      <c r="G220" s="19">
        <f>151600-65599.59</f>
        <v>86000.41</v>
      </c>
    </row>
    <row r="221" spans="1:7" ht="119.25" customHeight="1">
      <c r="A221" s="21" t="s">
        <v>603</v>
      </c>
      <c r="B221" s="13" t="s">
        <v>60</v>
      </c>
      <c r="C221" s="13" t="s">
        <v>39</v>
      </c>
      <c r="D221" s="13" t="s">
        <v>37</v>
      </c>
      <c r="E221" s="17" t="s">
        <v>602</v>
      </c>
      <c r="F221" s="13" t="s">
        <v>32</v>
      </c>
      <c r="G221" s="19">
        <v>30000</v>
      </c>
    </row>
    <row r="222" spans="1:7" ht="56.25">
      <c r="A222" s="29" t="s">
        <v>522</v>
      </c>
      <c r="B222" s="13" t="s">
        <v>60</v>
      </c>
      <c r="C222" s="13" t="s">
        <v>39</v>
      </c>
      <c r="D222" s="13" t="s">
        <v>37</v>
      </c>
      <c r="E222" s="17" t="s">
        <v>520</v>
      </c>
      <c r="F222" s="17">
        <v>600</v>
      </c>
      <c r="G222" s="19">
        <f>700000+544100</f>
        <v>1244100</v>
      </c>
    </row>
    <row r="223" spans="1:7" ht="56.25">
      <c r="A223" s="29" t="s">
        <v>523</v>
      </c>
      <c r="B223" s="13" t="s">
        <v>60</v>
      </c>
      <c r="C223" s="13" t="s">
        <v>39</v>
      </c>
      <c r="D223" s="13" t="s">
        <v>37</v>
      </c>
      <c r="E223" s="17" t="s">
        <v>521</v>
      </c>
      <c r="F223" s="17">
        <v>600</v>
      </c>
      <c r="G223" s="19">
        <v>598360</v>
      </c>
    </row>
    <row r="224" spans="1:7" ht="56.25">
      <c r="A224" s="29" t="s">
        <v>583</v>
      </c>
      <c r="B224" s="13" t="s">
        <v>60</v>
      </c>
      <c r="C224" s="13" t="s">
        <v>39</v>
      </c>
      <c r="D224" s="13" t="s">
        <v>37</v>
      </c>
      <c r="E224" s="17" t="s">
        <v>581</v>
      </c>
      <c r="F224" s="17">
        <v>600</v>
      </c>
      <c r="G224" s="19">
        <v>382780</v>
      </c>
    </row>
    <row r="225" spans="1:7" ht="83.25" customHeight="1">
      <c r="A225" s="29" t="s">
        <v>584</v>
      </c>
      <c r="B225" s="13" t="s">
        <v>60</v>
      </c>
      <c r="C225" s="13" t="s">
        <v>39</v>
      </c>
      <c r="D225" s="13" t="s">
        <v>37</v>
      </c>
      <c r="E225" s="17" t="s">
        <v>582</v>
      </c>
      <c r="F225" s="17">
        <v>600</v>
      </c>
      <c r="G225" s="19">
        <v>210744.04</v>
      </c>
    </row>
    <row r="226" spans="1:7" ht="56.25">
      <c r="A226" s="29" t="s">
        <v>437</v>
      </c>
      <c r="B226" s="13" t="s">
        <v>60</v>
      </c>
      <c r="C226" s="13" t="s">
        <v>39</v>
      </c>
      <c r="D226" s="13" t="s">
        <v>37</v>
      </c>
      <c r="E226" s="17" t="s">
        <v>436</v>
      </c>
      <c r="F226" s="13" t="s">
        <v>32</v>
      </c>
      <c r="G226" s="19">
        <f>84924-84924+54450.16+5390565.84</f>
        <v>5445016</v>
      </c>
    </row>
    <row r="227" spans="1:7" ht="75">
      <c r="A227" s="29" t="s">
        <v>379</v>
      </c>
      <c r="B227" s="13" t="s">
        <v>60</v>
      </c>
      <c r="C227" s="13" t="s">
        <v>39</v>
      </c>
      <c r="D227" s="13" t="s">
        <v>37</v>
      </c>
      <c r="E227" s="17" t="s">
        <v>378</v>
      </c>
      <c r="F227" s="13" t="s">
        <v>32</v>
      </c>
      <c r="G227" s="19">
        <v>1715520.56</v>
      </c>
    </row>
    <row r="228" spans="1:7" ht="56.25">
      <c r="A228" s="29" t="s">
        <v>380</v>
      </c>
      <c r="B228" s="13" t="s">
        <v>60</v>
      </c>
      <c r="C228" s="13" t="s">
        <v>39</v>
      </c>
      <c r="D228" s="13" t="s">
        <v>37</v>
      </c>
      <c r="E228" s="17" t="s">
        <v>378</v>
      </c>
      <c r="F228" s="13" t="s">
        <v>26</v>
      </c>
      <c r="G228" s="19">
        <v>14909.44</v>
      </c>
    </row>
    <row r="229" spans="1:7" ht="75">
      <c r="A229" s="21" t="s">
        <v>331</v>
      </c>
      <c r="B229" s="13" t="s">
        <v>60</v>
      </c>
      <c r="C229" s="13" t="s">
        <v>39</v>
      </c>
      <c r="D229" s="13" t="s">
        <v>37</v>
      </c>
      <c r="E229" s="17" t="s">
        <v>181</v>
      </c>
      <c r="F229" s="13" t="s">
        <v>32</v>
      </c>
      <c r="G229" s="19">
        <v>45000</v>
      </c>
    </row>
    <row r="230" spans="1:7" ht="111" customHeight="1">
      <c r="A230" s="21" t="s">
        <v>95</v>
      </c>
      <c r="B230" s="13" t="s">
        <v>60</v>
      </c>
      <c r="C230" s="13" t="s">
        <v>39</v>
      </c>
      <c r="D230" s="13" t="s">
        <v>27</v>
      </c>
      <c r="E230" s="17" t="s">
        <v>76</v>
      </c>
      <c r="F230" s="13" t="s">
        <v>24</v>
      </c>
      <c r="G230" s="19">
        <v>30000</v>
      </c>
    </row>
    <row r="231" spans="1:7" ht="108" customHeight="1">
      <c r="A231" s="21" t="s">
        <v>77</v>
      </c>
      <c r="B231" s="13" t="s">
        <v>60</v>
      </c>
      <c r="C231" s="13" t="s">
        <v>39</v>
      </c>
      <c r="D231" s="13" t="s">
        <v>27</v>
      </c>
      <c r="E231" s="17" t="s">
        <v>76</v>
      </c>
      <c r="F231" s="13" t="s">
        <v>32</v>
      </c>
      <c r="G231" s="19">
        <v>20000</v>
      </c>
    </row>
    <row r="232" spans="1:7" ht="105" customHeight="1">
      <c r="A232" s="31" t="s">
        <v>98</v>
      </c>
      <c r="B232" s="13" t="s">
        <v>60</v>
      </c>
      <c r="C232" s="13" t="s">
        <v>39</v>
      </c>
      <c r="D232" s="13" t="s">
        <v>27</v>
      </c>
      <c r="E232" s="17" t="s">
        <v>87</v>
      </c>
      <c r="F232" s="13" t="s">
        <v>24</v>
      </c>
      <c r="G232" s="19">
        <v>8000</v>
      </c>
    </row>
    <row r="233" spans="1:7" ht="123" customHeight="1">
      <c r="A233" s="21" t="s">
        <v>140</v>
      </c>
      <c r="B233" s="13" t="s">
        <v>60</v>
      </c>
      <c r="C233" s="13" t="s">
        <v>39</v>
      </c>
      <c r="D233" s="13" t="s">
        <v>39</v>
      </c>
      <c r="E233" s="17" t="s">
        <v>79</v>
      </c>
      <c r="F233" s="13" t="s">
        <v>24</v>
      </c>
      <c r="G233" s="19">
        <v>19590</v>
      </c>
    </row>
    <row r="234" spans="1:7" ht="112.5">
      <c r="A234" s="21" t="s">
        <v>199</v>
      </c>
      <c r="B234" s="13" t="s">
        <v>60</v>
      </c>
      <c r="C234" s="13" t="s">
        <v>39</v>
      </c>
      <c r="D234" s="13" t="s">
        <v>39</v>
      </c>
      <c r="E234" s="17" t="s">
        <v>79</v>
      </c>
      <c r="F234" s="13" t="s">
        <v>32</v>
      </c>
      <c r="G234" s="19">
        <v>65000</v>
      </c>
    </row>
    <row r="235" spans="1:7" ht="107.25" customHeight="1">
      <c r="A235" s="21" t="s">
        <v>127</v>
      </c>
      <c r="B235" s="13" t="s">
        <v>60</v>
      </c>
      <c r="C235" s="13" t="s">
        <v>39</v>
      </c>
      <c r="D235" s="13" t="s">
        <v>39</v>
      </c>
      <c r="E235" s="17" t="s">
        <v>41</v>
      </c>
      <c r="F235" s="13" t="s">
        <v>24</v>
      </c>
      <c r="G235" s="19">
        <f>15000-10000+60000-30000</f>
        <v>35000</v>
      </c>
    </row>
    <row r="236" spans="1:7" ht="107.25" customHeight="1">
      <c r="A236" s="21" t="s">
        <v>173</v>
      </c>
      <c r="B236" s="13" t="s">
        <v>60</v>
      </c>
      <c r="C236" s="13" t="s">
        <v>39</v>
      </c>
      <c r="D236" s="13" t="s">
        <v>39</v>
      </c>
      <c r="E236" s="17" t="s">
        <v>41</v>
      </c>
      <c r="F236" s="13" t="s">
        <v>32</v>
      </c>
      <c r="G236" s="19">
        <v>30000</v>
      </c>
    </row>
    <row r="237" spans="1:7" ht="96.75" customHeight="1">
      <c r="A237" s="21" t="s">
        <v>200</v>
      </c>
      <c r="B237" s="13" t="s">
        <v>60</v>
      </c>
      <c r="C237" s="13" t="s">
        <v>39</v>
      </c>
      <c r="D237" s="13" t="s">
        <v>39</v>
      </c>
      <c r="E237" s="17" t="s">
        <v>192</v>
      </c>
      <c r="F237" s="13" t="s">
        <v>32</v>
      </c>
      <c r="G237" s="19">
        <v>10000</v>
      </c>
    </row>
    <row r="238" spans="1:7" ht="90.75" customHeight="1">
      <c r="A238" s="21" t="s">
        <v>475</v>
      </c>
      <c r="B238" s="13" t="s">
        <v>60</v>
      </c>
      <c r="C238" s="13" t="s">
        <v>39</v>
      </c>
      <c r="D238" s="13" t="s">
        <v>39</v>
      </c>
      <c r="E238" s="17" t="s">
        <v>141</v>
      </c>
      <c r="F238" s="13" t="s">
        <v>32</v>
      </c>
      <c r="G238" s="19">
        <v>18800</v>
      </c>
    </row>
    <row r="239" spans="1:7" ht="106.5" customHeight="1">
      <c r="A239" s="28" t="s">
        <v>258</v>
      </c>
      <c r="B239" s="13" t="s">
        <v>60</v>
      </c>
      <c r="C239" s="13" t="s">
        <v>39</v>
      </c>
      <c r="D239" s="13" t="s">
        <v>39</v>
      </c>
      <c r="E239" s="17" t="s">
        <v>144</v>
      </c>
      <c r="F239" s="13" t="s">
        <v>32</v>
      </c>
      <c r="G239" s="19">
        <v>44000</v>
      </c>
    </row>
    <row r="240" spans="1:7" ht="86.25" customHeight="1">
      <c r="A240" s="29" t="s">
        <v>476</v>
      </c>
      <c r="B240" s="13" t="s">
        <v>60</v>
      </c>
      <c r="C240" s="13" t="s">
        <v>39</v>
      </c>
      <c r="D240" s="13" t="s">
        <v>39</v>
      </c>
      <c r="E240" s="17" t="s">
        <v>222</v>
      </c>
      <c r="F240" s="13" t="s">
        <v>32</v>
      </c>
      <c r="G240" s="19">
        <v>10000</v>
      </c>
    </row>
    <row r="241" spans="1:7" ht="86.25" customHeight="1">
      <c r="A241" s="29" t="s">
        <v>477</v>
      </c>
      <c r="B241" s="13" t="s">
        <v>60</v>
      </c>
      <c r="C241" s="13" t="s">
        <v>39</v>
      </c>
      <c r="D241" s="13" t="s">
        <v>39</v>
      </c>
      <c r="E241" s="17" t="s">
        <v>223</v>
      </c>
      <c r="F241" s="13" t="s">
        <v>32</v>
      </c>
      <c r="G241" s="19">
        <v>5000</v>
      </c>
    </row>
    <row r="242" spans="1:7" ht="86.25" customHeight="1">
      <c r="A242" s="29" t="s">
        <v>261</v>
      </c>
      <c r="B242" s="13" t="s">
        <v>60</v>
      </c>
      <c r="C242" s="13" t="s">
        <v>39</v>
      </c>
      <c r="D242" s="13" t="s">
        <v>35</v>
      </c>
      <c r="E242" s="17" t="s">
        <v>152</v>
      </c>
      <c r="F242" s="13" t="s">
        <v>32</v>
      </c>
      <c r="G242" s="19">
        <v>22100</v>
      </c>
    </row>
    <row r="243" spans="1:7" ht="99.75" customHeight="1">
      <c r="A243" s="21" t="s">
        <v>235</v>
      </c>
      <c r="B243" s="13" t="s">
        <v>60</v>
      </c>
      <c r="C243" s="13" t="s">
        <v>39</v>
      </c>
      <c r="D243" s="13" t="s">
        <v>35</v>
      </c>
      <c r="E243" s="22" t="s">
        <v>78</v>
      </c>
      <c r="F243" s="17">
        <v>200</v>
      </c>
      <c r="G243" s="19">
        <f>56700-28350</f>
        <v>28350</v>
      </c>
    </row>
    <row r="244" spans="1:7" ht="114.75" customHeight="1">
      <c r="A244" s="21" t="s">
        <v>234</v>
      </c>
      <c r="B244" s="13" t="s">
        <v>60</v>
      </c>
      <c r="C244" s="13" t="s">
        <v>39</v>
      </c>
      <c r="D244" s="13" t="s">
        <v>35</v>
      </c>
      <c r="E244" s="22" t="s">
        <v>78</v>
      </c>
      <c r="F244" s="17">
        <v>600</v>
      </c>
      <c r="G244" s="19">
        <f>785295+28350</f>
        <v>813645</v>
      </c>
    </row>
    <row r="245" spans="1:7" ht="111.75" customHeight="1">
      <c r="A245" s="21" t="s">
        <v>162</v>
      </c>
      <c r="B245" s="13" t="s">
        <v>60</v>
      </c>
      <c r="C245" s="13" t="s">
        <v>39</v>
      </c>
      <c r="D245" s="13" t="s">
        <v>35</v>
      </c>
      <c r="E245" s="22" t="s">
        <v>163</v>
      </c>
      <c r="F245" s="17">
        <v>200</v>
      </c>
      <c r="G245" s="19">
        <f>52080+4620</f>
        <v>56700</v>
      </c>
    </row>
    <row r="246" spans="1:7" ht="91.5" customHeight="1">
      <c r="A246" s="21" t="s">
        <v>145</v>
      </c>
      <c r="B246" s="13" t="s">
        <v>60</v>
      </c>
      <c r="C246" s="13" t="s">
        <v>39</v>
      </c>
      <c r="D246" s="13" t="s">
        <v>35</v>
      </c>
      <c r="E246" s="17" t="s">
        <v>80</v>
      </c>
      <c r="F246" s="13" t="s">
        <v>21</v>
      </c>
      <c r="G246" s="19">
        <f>9222420.32+285873.24+135209.72+1253015.64</f>
        <v>10896518.920000002</v>
      </c>
    </row>
    <row r="247" spans="1:7" ht="68.25" customHeight="1">
      <c r="A247" s="21" t="s">
        <v>105</v>
      </c>
      <c r="B247" s="13" t="s">
        <v>60</v>
      </c>
      <c r="C247" s="13" t="s">
        <v>39</v>
      </c>
      <c r="D247" s="13" t="s">
        <v>35</v>
      </c>
      <c r="E247" s="17" t="s">
        <v>80</v>
      </c>
      <c r="F247" s="13" t="s">
        <v>24</v>
      </c>
      <c r="G247" s="19">
        <f>1671264.74+3365.02+48632.43+8302.71+192770.69+200000+311345</f>
        <v>2435680.59</v>
      </c>
    </row>
    <row r="248" spans="1:7" ht="44.25" customHeight="1">
      <c r="A248" s="21" t="s">
        <v>106</v>
      </c>
      <c r="B248" s="13" t="s">
        <v>60</v>
      </c>
      <c r="C248" s="13" t="s">
        <v>39</v>
      </c>
      <c r="D248" s="13" t="s">
        <v>35</v>
      </c>
      <c r="E248" s="17" t="s">
        <v>80</v>
      </c>
      <c r="F248" s="13" t="s">
        <v>26</v>
      </c>
      <c r="G248" s="19">
        <f>22500-11345</f>
        <v>11155</v>
      </c>
    </row>
    <row r="249" spans="1:7" ht="87.75" customHeight="1">
      <c r="A249" s="29" t="s">
        <v>296</v>
      </c>
      <c r="B249" s="13" t="s">
        <v>60</v>
      </c>
      <c r="C249" s="13" t="s">
        <v>39</v>
      </c>
      <c r="D249" s="13" t="s">
        <v>35</v>
      </c>
      <c r="E249" s="17" t="s">
        <v>295</v>
      </c>
      <c r="F249" s="13" t="s">
        <v>24</v>
      </c>
      <c r="G249" s="19">
        <v>15000</v>
      </c>
    </row>
    <row r="250" spans="1:7" ht="69" customHeight="1">
      <c r="A250" s="21" t="s">
        <v>146</v>
      </c>
      <c r="B250" s="13" t="s">
        <v>60</v>
      </c>
      <c r="C250" s="13" t="s">
        <v>39</v>
      </c>
      <c r="D250" s="13" t="s">
        <v>35</v>
      </c>
      <c r="E250" s="17" t="s">
        <v>147</v>
      </c>
      <c r="F250" s="13" t="s">
        <v>24</v>
      </c>
      <c r="G250" s="19">
        <f>30000-10000</f>
        <v>20000</v>
      </c>
    </row>
    <row r="251" spans="1:7" ht="82.5" customHeight="1">
      <c r="A251" s="21" t="s">
        <v>341</v>
      </c>
      <c r="B251" s="13" t="s">
        <v>60</v>
      </c>
      <c r="C251" s="13" t="s">
        <v>39</v>
      </c>
      <c r="D251" s="13" t="s">
        <v>35</v>
      </c>
      <c r="E251" s="17" t="s">
        <v>147</v>
      </c>
      <c r="F251" s="13" t="s">
        <v>32</v>
      </c>
      <c r="G251" s="19">
        <v>10000</v>
      </c>
    </row>
    <row r="252" spans="1:7" ht="85.5" customHeight="1">
      <c r="A252" s="21" t="s">
        <v>96</v>
      </c>
      <c r="B252" s="13" t="s">
        <v>60</v>
      </c>
      <c r="C252" s="13" t="s">
        <v>39</v>
      </c>
      <c r="D252" s="13" t="s">
        <v>35</v>
      </c>
      <c r="E252" s="17" t="s">
        <v>88</v>
      </c>
      <c r="F252" s="13" t="s">
        <v>24</v>
      </c>
      <c r="G252" s="19">
        <f>10000+20000</f>
        <v>30000</v>
      </c>
    </row>
    <row r="253" spans="1:7" ht="84.75" customHeight="1">
      <c r="A253" s="21" t="s">
        <v>478</v>
      </c>
      <c r="B253" s="13" t="s">
        <v>60</v>
      </c>
      <c r="C253" s="13" t="s">
        <v>39</v>
      </c>
      <c r="D253" s="13" t="s">
        <v>35</v>
      </c>
      <c r="E253" s="17" t="s">
        <v>75</v>
      </c>
      <c r="F253" s="13" t="s">
        <v>32</v>
      </c>
      <c r="G253" s="19">
        <v>10000</v>
      </c>
    </row>
    <row r="254" spans="1:7" ht="56.25">
      <c r="A254" s="29" t="s">
        <v>333</v>
      </c>
      <c r="B254" s="13" t="s">
        <v>60</v>
      </c>
      <c r="C254" s="13" t="s">
        <v>39</v>
      </c>
      <c r="D254" s="13" t="s">
        <v>35</v>
      </c>
      <c r="E254" s="17" t="s">
        <v>332</v>
      </c>
      <c r="F254" s="13" t="s">
        <v>24</v>
      </c>
      <c r="G254" s="19">
        <f>30000+20000-20000</f>
        <v>30000</v>
      </c>
    </row>
    <row r="255" spans="1:7" ht="135" customHeight="1">
      <c r="A255" s="21" t="s">
        <v>110</v>
      </c>
      <c r="B255" s="13" t="s">
        <v>60</v>
      </c>
      <c r="C255" s="13" t="s">
        <v>39</v>
      </c>
      <c r="D255" s="13" t="s">
        <v>35</v>
      </c>
      <c r="E255" s="17" t="s">
        <v>23</v>
      </c>
      <c r="F255" s="13" t="s">
        <v>21</v>
      </c>
      <c r="G255" s="19">
        <f>3391708.42+24660.94+15045.96+78064.7+165980.52</f>
        <v>3675460.54</v>
      </c>
    </row>
    <row r="256" spans="1:7" ht="89.25" customHeight="1">
      <c r="A256" s="21" t="s">
        <v>111</v>
      </c>
      <c r="B256" s="13" t="s">
        <v>60</v>
      </c>
      <c r="C256" s="13" t="s">
        <v>39</v>
      </c>
      <c r="D256" s="13" t="s">
        <v>35</v>
      </c>
      <c r="E256" s="17" t="s">
        <v>23</v>
      </c>
      <c r="F256" s="13" t="s">
        <v>24</v>
      </c>
      <c r="G256" s="19">
        <f>150000+1056.17+2386.43</f>
        <v>153442.6</v>
      </c>
    </row>
    <row r="257" spans="1:7" ht="88.5" customHeight="1">
      <c r="A257" s="29" t="s">
        <v>229</v>
      </c>
      <c r="B257" s="13" t="s">
        <v>60</v>
      </c>
      <c r="C257" s="13" t="s">
        <v>39</v>
      </c>
      <c r="D257" s="13" t="s">
        <v>35</v>
      </c>
      <c r="E257" s="17" t="s">
        <v>221</v>
      </c>
      <c r="F257" s="13" t="s">
        <v>32</v>
      </c>
      <c r="G257" s="19">
        <v>35000</v>
      </c>
    </row>
    <row r="258" spans="1:7" ht="88.5" customHeight="1">
      <c r="A258" s="28" t="s">
        <v>587</v>
      </c>
      <c r="B258" s="13" t="s">
        <v>60</v>
      </c>
      <c r="C258" s="13" t="s">
        <v>39</v>
      </c>
      <c r="D258" s="13" t="s">
        <v>35</v>
      </c>
      <c r="E258" s="17" t="s">
        <v>585</v>
      </c>
      <c r="F258" s="17">
        <v>200</v>
      </c>
      <c r="G258" s="19">
        <v>166460</v>
      </c>
    </row>
    <row r="259" spans="1:7" ht="88.5" customHeight="1">
      <c r="A259" s="28" t="s">
        <v>588</v>
      </c>
      <c r="B259" s="13" t="s">
        <v>60</v>
      </c>
      <c r="C259" s="13" t="s">
        <v>39</v>
      </c>
      <c r="D259" s="13" t="s">
        <v>35</v>
      </c>
      <c r="E259" s="17" t="s">
        <v>586</v>
      </c>
      <c r="F259" s="17">
        <v>200</v>
      </c>
      <c r="G259" s="19">
        <v>256940</v>
      </c>
    </row>
    <row r="260" spans="1:7" ht="88.5" customHeight="1">
      <c r="A260" s="28" t="s">
        <v>590</v>
      </c>
      <c r="B260" s="13" t="s">
        <v>60</v>
      </c>
      <c r="C260" s="13" t="s">
        <v>39</v>
      </c>
      <c r="D260" s="13" t="s">
        <v>35</v>
      </c>
      <c r="E260" s="17" t="s">
        <v>589</v>
      </c>
      <c r="F260" s="17">
        <v>200</v>
      </c>
      <c r="G260" s="19">
        <v>41180</v>
      </c>
    </row>
    <row r="261" spans="1:7" ht="117.75" customHeight="1">
      <c r="A261" s="29" t="s">
        <v>568</v>
      </c>
      <c r="B261" s="13" t="s">
        <v>60</v>
      </c>
      <c r="C261" s="13" t="s">
        <v>39</v>
      </c>
      <c r="D261" s="13" t="s">
        <v>35</v>
      </c>
      <c r="E261" s="17" t="s">
        <v>567</v>
      </c>
      <c r="F261" s="13" t="s">
        <v>24</v>
      </c>
      <c r="G261" s="19">
        <v>17000</v>
      </c>
    </row>
    <row r="262" spans="1:7" ht="402" customHeight="1">
      <c r="A262" s="30" t="s">
        <v>457</v>
      </c>
      <c r="B262" s="13" t="s">
        <v>60</v>
      </c>
      <c r="C262" s="13" t="s">
        <v>52</v>
      </c>
      <c r="D262" s="13" t="s">
        <v>22</v>
      </c>
      <c r="E262" s="17" t="s">
        <v>456</v>
      </c>
      <c r="F262" s="13" t="s">
        <v>32</v>
      </c>
      <c r="G262" s="19">
        <v>6219.05</v>
      </c>
    </row>
    <row r="263" spans="1:7" ht="128.25" customHeight="1">
      <c r="A263" s="21" t="s">
        <v>164</v>
      </c>
      <c r="B263" s="13" t="s">
        <v>60</v>
      </c>
      <c r="C263" s="13" t="s">
        <v>52</v>
      </c>
      <c r="D263" s="13" t="s">
        <v>22</v>
      </c>
      <c r="E263" s="22" t="s">
        <v>165</v>
      </c>
      <c r="F263" s="17">
        <v>300</v>
      </c>
      <c r="G263" s="19">
        <f>1241357.93-338778.21</f>
        <v>902579.72</v>
      </c>
    </row>
    <row r="264" spans="1:7" ht="386.25" customHeight="1">
      <c r="A264" s="28" t="s">
        <v>591</v>
      </c>
      <c r="B264" s="13" t="s">
        <v>60</v>
      </c>
      <c r="C264" s="13" t="s">
        <v>52</v>
      </c>
      <c r="D264" s="13" t="s">
        <v>22</v>
      </c>
      <c r="E264" s="22" t="s">
        <v>498</v>
      </c>
      <c r="F264" s="17">
        <v>200</v>
      </c>
      <c r="G264" s="19">
        <v>5062.68</v>
      </c>
    </row>
    <row r="265" spans="1:7" ht="409.5" customHeight="1">
      <c r="A265" s="28" t="s">
        <v>499</v>
      </c>
      <c r="B265" s="13" t="s">
        <v>60</v>
      </c>
      <c r="C265" s="13" t="s">
        <v>52</v>
      </c>
      <c r="D265" s="13" t="s">
        <v>22</v>
      </c>
      <c r="E265" s="22" t="s">
        <v>498</v>
      </c>
      <c r="F265" s="17">
        <v>600</v>
      </c>
      <c r="G265" s="19">
        <f>745321.23-5062.68-270691.84</f>
        <v>469566.7099999999</v>
      </c>
    </row>
    <row r="266" spans="1:7" ht="86.25" customHeight="1">
      <c r="A266" s="28" t="s">
        <v>175</v>
      </c>
      <c r="B266" s="13" t="s">
        <v>60</v>
      </c>
      <c r="C266" s="13" t="s">
        <v>28</v>
      </c>
      <c r="D266" s="13" t="s">
        <v>19</v>
      </c>
      <c r="E266" s="17" t="s">
        <v>169</v>
      </c>
      <c r="F266" s="13" t="s">
        <v>32</v>
      </c>
      <c r="G266" s="19">
        <v>190700</v>
      </c>
    </row>
    <row r="267" spans="1:7" s="11" customFormat="1" ht="83.25" customHeight="1">
      <c r="A267" s="10" t="s">
        <v>201</v>
      </c>
      <c r="B267" s="6" t="s">
        <v>81</v>
      </c>
      <c r="C267" s="6" t="s">
        <v>15</v>
      </c>
      <c r="D267" s="6" t="s">
        <v>15</v>
      </c>
      <c r="E267" s="4" t="s">
        <v>16</v>
      </c>
      <c r="F267" s="6" t="s">
        <v>17</v>
      </c>
      <c r="G267" s="12">
        <f>SUM(G268:G291)</f>
        <v>25998974</v>
      </c>
    </row>
    <row r="268" spans="1:7" ht="115.5" customHeight="1">
      <c r="A268" s="29" t="s">
        <v>218</v>
      </c>
      <c r="B268" s="16" t="s">
        <v>81</v>
      </c>
      <c r="C268" s="16" t="s">
        <v>18</v>
      </c>
      <c r="D268" s="16" t="s">
        <v>29</v>
      </c>
      <c r="E268" s="17" t="s">
        <v>148</v>
      </c>
      <c r="F268" s="16" t="s">
        <v>24</v>
      </c>
      <c r="G268" s="19">
        <f>154000+50000+88000</f>
        <v>292000</v>
      </c>
    </row>
    <row r="269" spans="1:7" ht="87.75" customHeight="1">
      <c r="A269" s="21" t="s">
        <v>334</v>
      </c>
      <c r="B269" s="16" t="s">
        <v>81</v>
      </c>
      <c r="C269" s="16" t="s">
        <v>18</v>
      </c>
      <c r="D269" s="16" t="s">
        <v>29</v>
      </c>
      <c r="E269" s="17" t="s">
        <v>338</v>
      </c>
      <c r="F269" s="16" t="s">
        <v>24</v>
      </c>
      <c r="G269" s="19">
        <v>100000</v>
      </c>
    </row>
    <row r="270" spans="1:7" ht="70.5" customHeight="1">
      <c r="A270" s="30" t="s">
        <v>548</v>
      </c>
      <c r="B270" s="16" t="s">
        <v>81</v>
      </c>
      <c r="C270" s="16" t="s">
        <v>18</v>
      </c>
      <c r="D270" s="16" t="s">
        <v>29</v>
      </c>
      <c r="E270" s="17" t="s">
        <v>547</v>
      </c>
      <c r="F270" s="16" t="s">
        <v>24</v>
      </c>
      <c r="G270" s="19">
        <v>4498932.17</v>
      </c>
    </row>
    <row r="271" spans="1:7" ht="138" customHeight="1">
      <c r="A271" s="21" t="s">
        <v>110</v>
      </c>
      <c r="B271" s="16" t="s">
        <v>81</v>
      </c>
      <c r="C271" s="16" t="s">
        <v>18</v>
      </c>
      <c r="D271" s="16" t="s">
        <v>29</v>
      </c>
      <c r="E271" s="17" t="s">
        <v>23</v>
      </c>
      <c r="F271" s="16" t="s">
        <v>21</v>
      </c>
      <c r="G271" s="19">
        <f>8060964.5+184688.95</f>
        <v>8245653.4500000002</v>
      </c>
    </row>
    <row r="272" spans="1:7" ht="101.25" customHeight="1">
      <c r="A272" s="21" t="s">
        <v>111</v>
      </c>
      <c r="B272" s="16" t="s">
        <v>81</v>
      </c>
      <c r="C272" s="16" t="s">
        <v>18</v>
      </c>
      <c r="D272" s="16" t="s">
        <v>29</v>
      </c>
      <c r="E272" s="17" t="s">
        <v>23</v>
      </c>
      <c r="F272" s="16" t="s">
        <v>24</v>
      </c>
      <c r="G272" s="19">
        <f>568626.69+1023.06+15279.98+18906.22</f>
        <v>603835.94999999995</v>
      </c>
    </row>
    <row r="273" spans="1:7" ht="77.25" customHeight="1">
      <c r="A273" s="21" t="s">
        <v>118</v>
      </c>
      <c r="B273" s="16" t="s">
        <v>81</v>
      </c>
      <c r="C273" s="16" t="s">
        <v>18</v>
      </c>
      <c r="D273" s="16" t="s">
        <v>29</v>
      </c>
      <c r="E273" s="17" t="s">
        <v>119</v>
      </c>
      <c r="F273" s="16" t="s">
        <v>24</v>
      </c>
      <c r="G273" s="19">
        <v>87000</v>
      </c>
    </row>
    <row r="274" spans="1:7" ht="84" customHeight="1">
      <c r="A274" s="21" t="s">
        <v>186</v>
      </c>
      <c r="B274" s="16" t="s">
        <v>81</v>
      </c>
      <c r="C274" s="16" t="s">
        <v>18</v>
      </c>
      <c r="D274" s="16" t="s">
        <v>29</v>
      </c>
      <c r="E274" s="17" t="s">
        <v>181</v>
      </c>
      <c r="F274" s="16" t="s">
        <v>24</v>
      </c>
      <c r="G274" s="19">
        <v>21000</v>
      </c>
    </row>
    <row r="275" spans="1:7" ht="84" customHeight="1">
      <c r="A275" s="21" t="s">
        <v>449</v>
      </c>
      <c r="B275" s="16" t="s">
        <v>81</v>
      </c>
      <c r="C275" s="16" t="s">
        <v>18</v>
      </c>
      <c r="D275" s="16" t="s">
        <v>29</v>
      </c>
      <c r="E275" s="17" t="s">
        <v>448</v>
      </c>
      <c r="F275" s="16" t="s">
        <v>24</v>
      </c>
      <c r="G275" s="19">
        <v>10000</v>
      </c>
    </row>
    <row r="276" spans="1:7" ht="69.75" customHeight="1">
      <c r="A276" s="21" t="s">
        <v>226</v>
      </c>
      <c r="B276" s="16" t="s">
        <v>81</v>
      </c>
      <c r="C276" s="16" t="s">
        <v>18</v>
      </c>
      <c r="D276" s="16" t="s">
        <v>29</v>
      </c>
      <c r="E276" s="17" t="s">
        <v>225</v>
      </c>
      <c r="F276" s="16" t="s">
        <v>24</v>
      </c>
      <c r="G276" s="19">
        <f>845313.97+40457.65+5186.06</f>
        <v>890957.68</v>
      </c>
    </row>
    <row r="277" spans="1:7" ht="41.25" customHeight="1">
      <c r="A277" s="21" t="s">
        <v>308</v>
      </c>
      <c r="B277" s="16" t="s">
        <v>81</v>
      </c>
      <c r="C277" s="16" t="s">
        <v>18</v>
      </c>
      <c r="D277" s="16" t="s">
        <v>29</v>
      </c>
      <c r="E277" s="17" t="s">
        <v>225</v>
      </c>
      <c r="F277" s="16" t="s">
        <v>26</v>
      </c>
      <c r="G277" s="19">
        <v>30000</v>
      </c>
    </row>
    <row r="278" spans="1:7" ht="114.75" customHeight="1">
      <c r="A278" s="28" t="s">
        <v>344</v>
      </c>
      <c r="B278" s="16" t="s">
        <v>81</v>
      </c>
      <c r="C278" s="16" t="s">
        <v>18</v>
      </c>
      <c r="D278" s="16" t="s">
        <v>29</v>
      </c>
      <c r="E278" s="17" t="s">
        <v>342</v>
      </c>
      <c r="F278" s="16" t="s">
        <v>24</v>
      </c>
      <c r="G278" s="19">
        <f>100000-10000</f>
        <v>90000</v>
      </c>
    </row>
    <row r="279" spans="1:7" ht="56.25" customHeight="1">
      <c r="A279" s="29" t="s">
        <v>345</v>
      </c>
      <c r="B279" s="16" t="s">
        <v>81</v>
      </c>
      <c r="C279" s="16" t="s">
        <v>18</v>
      </c>
      <c r="D279" s="16" t="s">
        <v>29</v>
      </c>
      <c r="E279" s="17" t="s">
        <v>343</v>
      </c>
      <c r="F279" s="16" t="s">
        <v>26</v>
      </c>
      <c r="G279" s="19">
        <v>10000</v>
      </c>
    </row>
    <row r="280" spans="1:7" ht="84.75" customHeight="1">
      <c r="A280" s="30" t="s">
        <v>479</v>
      </c>
      <c r="B280" s="16" t="s">
        <v>81</v>
      </c>
      <c r="C280" s="16" t="s">
        <v>22</v>
      </c>
      <c r="D280" s="16" t="s">
        <v>27</v>
      </c>
      <c r="E280" s="17" t="s">
        <v>480</v>
      </c>
      <c r="F280" s="16" t="s">
        <v>24</v>
      </c>
      <c r="G280" s="19">
        <f>230000-160528.5-1621.5</f>
        <v>67850</v>
      </c>
    </row>
    <row r="281" spans="1:7" ht="79.5" customHeight="1">
      <c r="A281" s="29" t="s">
        <v>368</v>
      </c>
      <c r="B281" s="16" t="s">
        <v>81</v>
      </c>
      <c r="C281" s="16" t="s">
        <v>22</v>
      </c>
      <c r="D281" s="16" t="s">
        <v>27</v>
      </c>
      <c r="E281" s="17" t="s">
        <v>367</v>
      </c>
      <c r="F281" s="16" t="s">
        <v>24</v>
      </c>
      <c r="G281" s="19">
        <f>44147.25-17522.45-176.99-245.97</f>
        <v>26201.839999999997</v>
      </c>
    </row>
    <row r="282" spans="1:7" ht="79.5" customHeight="1">
      <c r="A282" s="29" t="s">
        <v>596</v>
      </c>
      <c r="B282" s="16" t="s">
        <v>81</v>
      </c>
      <c r="C282" s="16" t="s">
        <v>22</v>
      </c>
      <c r="D282" s="16" t="s">
        <v>39</v>
      </c>
      <c r="E282" s="17" t="s">
        <v>595</v>
      </c>
      <c r="F282" s="16" t="s">
        <v>24</v>
      </c>
      <c r="G282" s="19">
        <v>402000</v>
      </c>
    </row>
    <row r="283" spans="1:7" ht="105.75" customHeight="1">
      <c r="A283" s="29" t="s">
        <v>370</v>
      </c>
      <c r="B283" s="16" t="s">
        <v>81</v>
      </c>
      <c r="C283" s="16" t="s">
        <v>22</v>
      </c>
      <c r="D283" s="16" t="s">
        <v>36</v>
      </c>
      <c r="E283" s="17" t="s">
        <v>369</v>
      </c>
      <c r="F283" s="16" t="s">
        <v>24</v>
      </c>
      <c r="G283" s="19">
        <v>150000</v>
      </c>
    </row>
    <row r="284" spans="1:7" ht="108.75" customHeight="1">
      <c r="A284" s="30" t="s">
        <v>217</v>
      </c>
      <c r="B284" s="16" t="s">
        <v>81</v>
      </c>
      <c r="C284" s="16" t="s">
        <v>22</v>
      </c>
      <c r="D284" s="16" t="s">
        <v>36</v>
      </c>
      <c r="E284" s="17" t="s">
        <v>216</v>
      </c>
      <c r="F284" s="16" t="s">
        <v>24</v>
      </c>
      <c r="G284" s="19">
        <f>210000+245.97+110000+100000+1621.5+75000</f>
        <v>496867.47</v>
      </c>
    </row>
    <row r="285" spans="1:7" ht="109.5" customHeight="1">
      <c r="A285" s="31" t="s">
        <v>98</v>
      </c>
      <c r="B285" s="16" t="s">
        <v>81</v>
      </c>
      <c r="C285" s="16" t="s">
        <v>39</v>
      </c>
      <c r="D285" s="16" t="s">
        <v>27</v>
      </c>
      <c r="E285" s="17" t="s">
        <v>87</v>
      </c>
      <c r="F285" s="16" t="s">
        <v>24</v>
      </c>
      <c r="G285" s="19">
        <v>8000</v>
      </c>
    </row>
    <row r="286" spans="1:7" ht="94.5" customHeight="1">
      <c r="A286" s="30" t="s">
        <v>482</v>
      </c>
      <c r="B286" s="16" t="s">
        <v>81</v>
      </c>
      <c r="C286" s="16" t="s">
        <v>52</v>
      </c>
      <c r="D286" s="16" t="s">
        <v>22</v>
      </c>
      <c r="E286" s="17" t="s">
        <v>481</v>
      </c>
      <c r="F286" s="16" t="s">
        <v>26</v>
      </c>
      <c r="G286" s="19">
        <v>15000</v>
      </c>
    </row>
    <row r="287" spans="1:7" ht="74.25" customHeight="1">
      <c r="A287" s="30" t="s">
        <v>517</v>
      </c>
      <c r="B287" s="16" t="s">
        <v>81</v>
      </c>
      <c r="C287" s="16" t="s">
        <v>52</v>
      </c>
      <c r="D287" s="16" t="s">
        <v>22</v>
      </c>
      <c r="E287" s="17" t="s">
        <v>516</v>
      </c>
      <c r="F287" s="16" t="s">
        <v>26</v>
      </c>
      <c r="G287" s="19">
        <v>17064.990000000002</v>
      </c>
    </row>
    <row r="288" spans="1:7" ht="74.25" customHeight="1">
      <c r="A288" s="30" t="s">
        <v>542</v>
      </c>
      <c r="B288" s="16" t="s">
        <v>81</v>
      </c>
      <c r="C288" s="16" t="s">
        <v>52</v>
      </c>
      <c r="D288" s="16" t="s">
        <v>22</v>
      </c>
      <c r="E288" s="17" t="s">
        <v>541</v>
      </c>
      <c r="F288" s="16" t="s">
        <v>26</v>
      </c>
      <c r="G288" s="19">
        <v>5000</v>
      </c>
    </row>
    <row r="289" spans="1:7" ht="74.25" customHeight="1">
      <c r="A289" s="30" t="s">
        <v>560</v>
      </c>
      <c r="B289" s="16" t="s">
        <v>81</v>
      </c>
      <c r="C289" s="16" t="s">
        <v>52</v>
      </c>
      <c r="D289" s="16" t="s">
        <v>22</v>
      </c>
      <c r="E289" s="17" t="s">
        <v>559</v>
      </c>
      <c r="F289" s="16" t="s">
        <v>26</v>
      </c>
      <c r="G289" s="19">
        <v>300</v>
      </c>
    </row>
    <row r="290" spans="1:7" ht="112.5" customHeight="1">
      <c r="A290" s="30" t="s">
        <v>438</v>
      </c>
      <c r="B290" s="16" t="s">
        <v>81</v>
      </c>
      <c r="C290" s="16" t="s">
        <v>52</v>
      </c>
      <c r="D290" s="16" t="s">
        <v>22</v>
      </c>
      <c r="E290" s="17" t="s">
        <v>439</v>
      </c>
      <c r="F290" s="16" t="s">
        <v>26</v>
      </c>
      <c r="G290" s="19">
        <v>26961.94</v>
      </c>
    </row>
    <row r="291" spans="1:7" ht="99" customHeight="1">
      <c r="A291" s="31" t="s">
        <v>202</v>
      </c>
      <c r="B291" s="16" t="s">
        <v>81</v>
      </c>
      <c r="C291" s="16" t="s">
        <v>52</v>
      </c>
      <c r="D291" s="16" t="s">
        <v>22</v>
      </c>
      <c r="E291" s="17" t="s">
        <v>193</v>
      </c>
      <c r="F291" s="16" t="s">
        <v>194</v>
      </c>
      <c r="G291" s="19">
        <f>3973035+3775444.96+369307.48+1786561.07</f>
        <v>9904348.5099999998</v>
      </c>
    </row>
    <row r="292" spans="1:7" s="11" customFormat="1" ht="47.25" customHeight="1">
      <c r="A292" s="10" t="s">
        <v>354</v>
      </c>
      <c r="B292" s="6" t="s">
        <v>82</v>
      </c>
      <c r="C292" s="6" t="s">
        <v>15</v>
      </c>
      <c r="D292" s="6" t="s">
        <v>15</v>
      </c>
      <c r="E292" s="4" t="s">
        <v>16</v>
      </c>
      <c r="F292" s="6" t="s">
        <v>17</v>
      </c>
      <c r="G292" s="12">
        <f>SUM(G293:G303)</f>
        <v>3868951.1800000006</v>
      </c>
    </row>
    <row r="293" spans="1:7" s="11" customFormat="1" ht="56.25">
      <c r="A293" s="28" t="s">
        <v>186</v>
      </c>
      <c r="B293" s="16" t="s">
        <v>82</v>
      </c>
      <c r="C293" s="16" t="s">
        <v>18</v>
      </c>
      <c r="D293" s="16" t="s">
        <v>33</v>
      </c>
      <c r="E293" s="13" t="s">
        <v>181</v>
      </c>
      <c r="F293" s="16" t="s">
        <v>24</v>
      </c>
      <c r="G293" s="19">
        <v>9000</v>
      </c>
    </row>
    <row r="294" spans="1:7" ht="127.5" customHeight="1">
      <c r="A294" s="32" t="s">
        <v>83</v>
      </c>
      <c r="B294" s="16" t="s">
        <v>82</v>
      </c>
      <c r="C294" s="16" t="s">
        <v>18</v>
      </c>
      <c r="D294" s="16" t="s">
        <v>33</v>
      </c>
      <c r="E294" s="17" t="s">
        <v>84</v>
      </c>
      <c r="F294" s="16" t="s">
        <v>21</v>
      </c>
      <c r="G294" s="19">
        <f>1695631.11+38087.62+39442.1</f>
        <v>1773160.8300000003</v>
      </c>
    </row>
    <row r="295" spans="1:7" ht="85.5" customHeight="1">
      <c r="A295" s="32" t="s">
        <v>107</v>
      </c>
      <c r="B295" s="16" t="s">
        <v>82</v>
      </c>
      <c r="C295" s="16" t="s">
        <v>18</v>
      </c>
      <c r="D295" s="16" t="s">
        <v>33</v>
      </c>
      <c r="E295" s="17" t="s">
        <v>84</v>
      </c>
      <c r="F295" s="16" t="s">
        <v>24</v>
      </c>
      <c r="G295" s="19">
        <f>325252.15+365.38+2495.21+13554.82-10000-8000+10753.8</f>
        <v>334421.36000000004</v>
      </c>
    </row>
    <row r="296" spans="1:7" ht="125.25" customHeight="1">
      <c r="A296" s="32" t="s">
        <v>85</v>
      </c>
      <c r="B296" s="16" t="s">
        <v>82</v>
      </c>
      <c r="C296" s="16" t="s">
        <v>18</v>
      </c>
      <c r="D296" s="16" t="s">
        <v>33</v>
      </c>
      <c r="E296" s="17" t="s">
        <v>86</v>
      </c>
      <c r="F296" s="16" t="s">
        <v>21</v>
      </c>
      <c r="G296" s="19">
        <f>1173254.33+26691.53+10637.13</f>
        <v>1210582.99</v>
      </c>
    </row>
    <row r="297" spans="1:7" ht="135" customHeight="1">
      <c r="A297" s="29" t="s">
        <v>315</v>
      </c>
      <c r="B297" s="16" t="s">
        <v>82</v>
      </c>
      <c r="C297" s="16" t="s">
        <v>18</v>
      </c>
      <c r="D297" s="16" t="s">
        <v>33</v>
      </c>
      <c r="E297" s="17" t="s">
        <v>311</v>
      </c>
      <c r="F297" s="16" t="s">
        <v>21</v>
      </c>
      <c r="G297" s="19">
        <f>295564+15384+7266</f>
        <v>318214</v>
      </c>
    </row>
    <row r="298" spans="1:7" ht="114" customHeight="1">
      <c r="A298" s="30" t="s">
        <v>346</v>
      </c>
      <c r="B298" s="16" t="s">
        <v>82</v>
      </c>
      <c r="C298" s="16" t="s">
        <v>18</v>
      </c>
      <c r="D298" s="16" t="s">
        <v>33</v>
      </c>
      <c r="E298" s="17" t="s">
        <v>348</v>
      </c>
      <c r="F298" s="16" t="s">
        <v>24</v>
      </c>
      <c r="G298" s="19">
        <v>3600</v>
      </c>
    </row>
    <row r="299" spans="1:7" ht="151.5" customHeight="1">
      <c r="A299" s="30" t="s">
        <v>347</v>
      </c>
      <c r="B299" s="16" t="s">
        <v>82</v>
      </c>
      <c r="C299" s="16" t="s">
        <v>18</v>
      </c>
      <c r="D299" s="16" t="s">
        <v>33</v>
      </c>
      <c r="E299" s="17" t="s">
        <v>349</v>
      </c>
      <c r="F299" s="16" t="s">
        <v>21</v>
      </c>
      <c r="G299" s="19">
        <f>46908+2467+1118</f>
        <v>50493</v>
      </c>
    </row>
    <row r="300" spans="1:7" ht="136.5" customHeight="1">
      <c r="A300" s="30" t="s">
        <v>316</v>
      </c>
      <c r="B300" s="16" t="s">
        <v>82</v>
      </c>
      <c r="C300" s="16" t="s">
        <v>18</v>
      </c>
      <c r="D300" s="16" t="s">
        <v>33</v>
      </c>
      <c r="E300" s="17" t="s">
        <v>312</v>
      </c>
      <c r="F300" s="16" t="s">
        <v>21</v>
      </c>
      <c r="G300" s="19">
        <f>46908+2467+1118</f>
        <v>50493</v>
      </c>
    </row>
    <row r="301" spans="1:7" ht="149.25" customHeight="1">
      <c r="A301" s="30" t="s">
        <v>317</v>
      </c>
      <c r="B301" s="16" t="s">
        <v>82</v>
      </c>
      <c r="C301" s="16" t="s">
        <v>18</v>
      </c>
      <c r="D301" s="16" t="s">
        <v>33</v>
      </c>
      <c r="E301" s="17" t="s">
        <v>313</v>
      </c>
      <c r="F301" s="16" t="s">
        <v>21</v>
      </c>
      <c r="G301" s="19">
        <f>46908+2467+1118</f>
        <v>50493</v>
      </c>
    </row>
    <row r="302" spans="1:7" ht="134.25" customHeight="1">
      <c r="A302" s="30" t="s">
        <v>318</v>
      </c>
      <c r="B302" s="16" t="s">
        <v>82</v>
      </c>
      <c r="C302" s="16" t="s">
        <v>18</v>
      </c>
      <c r="D302" s="16" t="s">
        <v>33</v>
      </c>
      <c r="E302" s="17" t="s">
        <v>314</v>
      </c>
      <c r="F302" s="16" t="s">
        <v>21</v>
      </c>
      <c r="G302" s="19">
        <f>46908+2467+1118</f>
        <v>50493</v>
      </c>
    </row>
    <row r="303" spans="1:7" ht="93" customHeight="1">
      <c r="A303" s="30" t="s">
        <v>98</v>
      </c>
      <c r="B303" s="16" t="s">
        <v>82</v>
      </c>
      <c r="C303" s="16" t="s">
        <v>39</v>
      </c>
      <c r="D303" s="16" t="s">
        <v>27</v>
      </c>
      <c r="E303" s="17" t="s">
        <v>87</v>
      </c>
      <c r="F303" s="16" t="s">
        <v>24</v>
      </c>
      <c r="G303" s="19">
        <f>10000+8000</f>
        <v>18000</v>
      </c>
    </row>
    <row r="304" spans="1:7" ht="51.75" customHeight="1">
      <c r="A304" s="18" t="s">
        <v>108</v>
      </c>
      <c r="B304" s="6" t="s">
        <v>97</v>
      </c>
      <c r="C304" s="6" t="s">
        <v>15</v>
      </c>
      <c r="D304" s="6" t="s">
        <v>15</v>
      </c>
      <c r="E304" s="4" t="s">
        <v>16</v>
      </c>
      <c r="F304" s="6" t="s">
        <v>17</v>
      </c>
      <c r="G304" s="20">
        <f>SUM(G305:G351)</f>
        <v>47414633.109999992</v>
      </c>
    </row>
    <row r="305" spans="1:8" ht="132.75" customHeight="1">
      <c r="A305" s="21" t="s">
        <v>110</v>
      </c>
      <c r="B305" s="16" t="s">
        <v>97</v>
      </c>
      <c r="C305" s="16" t="s">
        <v>18</v>
      </c>
      <c r="D305" s="16" t="s">
        <v>29</v>
      </c>
      <c r="E305" s="13" t="s">
        <v>23</v>
      </c>
      <c r="F305" s="16" t="s">
        <v>21</v>
      </c>
      <c r="G305" s="19">
        <f>5696204.01+129588.65</f>
        <v>5825792.6600000001</v>
      </c>
    </row>
    <row r="306" spans="1:8" ht="99" customHeight="1">
      <c r="A306" s="21" t="s">
        <v>111</v>
      </c>
      <c r="B306" s="16" t="s">
        <v>97</v>
      </c>
      <c r="C306" s="16" t="s">
        <v>18</v>
      </c>
      <c r="D306" s="16" t="s">
        <v>29</v>
      </c>
      <c r="E306" s="13" t="s">
        <v>23</v>
      </c>
      <c r="F306" s="16" t="s">
        <v>24</v>
      </c>
      <c r="G306" s="19">
        <f>38000+730.76+362.25</f>
        <v>39093.01</v>
      </c>
    </row>
    <row r="307" spans="1:8" ht="48" customHeight="1">
      <c r="A307" s="21" t="s">
        <v>263</v>
      </c>
      <c r="B307" s="16" t="s">
        <v>97</v>
      </c>
      <c r="C307" s="16" t="s">
        <v>18</v>
      </c>
      <c r="D307" s="16" t="s">
        <v>29</v>
      </c>
      <c r="E307" s="13" t="s">
        <v>592</v>
      </c>
      <c r="F307" s="16" t="s">
        <v>24</v>
      </c>
      <c r="G307" s="19">
        <v>140000</v>
      </c>
    </row>
    <row r="308" spans="1:8" ht="82.5" customHeight="1">
      <c r="A308" s="21" t="s">
        <v>186</v>
      </c>
      <c r="B308" s="16" t="s">
        <v>97</v>
      </c>
      <c r="C308" s="16" t="s">
        <v>18</v>
      </c>
      <c r="D308" s="16" t="s">
        <v>29</v>
      </c>
      <c r="E308" s="13" t="s">
        <v>181</v>
      </c>
      <c r="F308" s="16" t="s">
        <v>24</v>
      </c>
      <c r="G308" s="19">
        <f>24500-4400-500</f>
        <v>19600</v>
      </c>
    </row>
    <row r="309" spans="1:8" ht="82.5" customHeight="1">
      <c r="A309" s="21" t="s">
        <v>507</v>
      </c>
      <c r="B309" s="16" t="s">
        <v>97</v>
      </c>
      <c r="C309" s="16" t="s">
        <v>37</v>
      </c>
      <c r="D309" s="16" t="s">
        <v>35</v>
      </c>
      <c r="E309" s="13" t="s">
        <v>506</v>
      </c>
      <c r="F309" s="16" t="s">
        <v>24</v>
      </c>
      <c r="G309" s="19">
        <f>873380.92+131060.74</f>
        <v>1004441.66</v>
      </c>
    </row>
    <row r="310" spans="1:8" ht="121.5" customHeight="1">
      <c r="A310" s="21" t="s">
        <v>272</v>
      </c>
      <c r="B310" s="16" t="s">
        <v>97</v>
      </c>
      <c r="C310" s="16" t="s">
        <v>22</v>
      </c>
      <c r="D310" s="16" t="s">
        <v>27</v>
      </c>
      <c r="E310" s="13" t="s">
        <v>167</v>
      </c>
      <c r="F310" s="16" t="s">
        <v>24</v>
      </c>
      <c r="G310" s="19">
        <v>81855.62</v>
      </c>
    </row>
    <row r="311" spans="1:8" ht="149.25" customHeight="1">
      <c r="A311" s="29" t="s">
        <v>270</v>
      </c>
      <c r="B311" s="16" t="s">
        <v>97</v>
      </c>
      <c r="C311" s="16" t="s">
        <v>22</v>
      </c>
      <c r="D311" s="16" t="s">
        <v>27</v>
      </c>
      <c r="E311" s="17" t="s">
        <v>271</v>
      </c>
      <c r="F311" s="17">
        <v>200</v>
      </c>
      <c r="G311" s="19">
        <v>101433.22</v>
      </c>
    </row>
    <row r="312" spans="1:8" ht="72" customHeight="1">
      <c r="A312" s="29" t="s">
        <v>501</v>
      </c>
      <c r="B312" s="16" t="s">
        <v>97</v>
      </c>
      <c r="C312" s="16" t="s">
        <v>22</v>
      </c>
      <c r="D312" s="16" t="s">
        <v>33</v>
      </c>
      <c r="E312" s="17" t="s">
        <v>500</v>
      </c>
      <c r="F312" s="17">
        <v>200</v>
      </c>
      <c r="G312" s="19">
        <v>269994.76</v>
      </c>
    </row>
    <row r="313" spans="1:8" ht="105" customHeight="1">
      <c r="A313" s="28" t="s">
        <v>230</v>
      </c>
      <c r="B313" s="13" t="s">
        <v>97</v>
      </c>
      <c r="C313" s="13" t="s">
        <v>22</v>
      </c>
      <c r="D313" s="13" t="s">
        <v>34</v>
      </c>
      <c r="E313" s="17" t="s">
        <v>231</v>
      </c>
      <c r="F313" s="13" t="s">
        <v>24</v>
      </c>
      <c r="G313" s="19">
        <f>2651299.67+305778.63+500000+257611.36+268209.7</f>
        <v>3982899.36</v>
      </c>
    </row>
    <row r="314" spans="1:8" ht="93.75" customHeight="1">
      <c r="A314" s="21" t="s">
        <v>274</v>
      </c>
      <c r="B314" s="13" t="s">
        <v>97</v>
      </c>
      <c r="C314" s="13" t="s">
        <v>22</v>
      </c>
      <c r="D314" s="13" t="s">
        <v>35</v>
      </c>
      <c r="E314" s="22" t="s">
        <v>273</v>
      </c>
      <c r="F314" s="13" t="s">
        <v>183</v>
      </c>
      <c r="G314" s="19">
        <f>1111172.11+111117.21</f>
        <v>1222289.32</v>
      </c>
      <c r="H314" s="34"/>
    </row>
    <row r="315" spans="1:8" ht="121.5" customHeight="1">
      <c r="A315" s="21" t="s">
        <v>339</v>
      </c>
      <c r="B315" s="13" t="s">
        <v>97</v>
      </c>
      <c r="C315" s="13" t="s">
        <v>22</v>
      </c>
      <c r="D315" s="13" t="s">
        <v>35</v>
      </c>
      <c r="E315" s="22" t="s">
        <v>340</v>
      </c>
      <c r="F315" s="13" t="s">
        <v>183</v>
      </c>
      <c r="G315" s="19">
        <f>3109098.55+261164.28+337026.28</f>
        <v>3707289.1099999994</v>
      </c>
    </row>
    <row r="316" spans="1:8" ht="81.75" customHeight="1">
      <c r="A316" s="29" t="s">
        <v>372</v>
      </c>
      <c r="B316" s="13" t="s">
        <v>97</v>
      </c>
      <c r="C316" s="13" t="s">
        <v>22</v>
      </c>
      <c r="D316" s="13" t="s">
        <v>35</v>
      </c>
      <c r="E316" s="22" t="s">
        <v>371</v>
      </c>
      <c r="F316" s="13" t="s">
        <v>24</v>
      </c>
      <c r="G316" s="19">
        <f>250000-50000+76273.63-46354-185996+3974.21</f>
        <v>47897.840000000004</v>
      </c>
    </row>
    <row r="317" spans="1:8" ht="72" customHeight="1">
      <c r="A317" s="29" t="s">
        <v>319</v>
      </c>
      <c r="B317" s="13" t="s">
        <v>97</v>
      </c>
      <c r="C317" s="13" t="s">
        <v>22</v>
      </c>
      <c r="D317" s="13" t="s">
        <v>35</v>
      </c>
      <c r="E317" s="17" t="s">
        <v>320</v>
      </c>
      <c r="F317" s="17">
        <v>200</v>
      </c>
      <c r="G317" s="19">
        <f>246813.34-50000+31975.72+300000+49248.31+17025.6+8619+5139.43+178446.52</f>
        <v>787267.92000000016</v>
      </c>
    </row>
    <row r="318" spans="1:8" ht="120" customHeight="1">
      <c r="A318" s="29" t="s">
        <v>326</v>
      </c>
      <c r="B318" s="13" t="s">
        <v>97</v>
      </c>
      <c r="C318" s="13" t="s">
        <v>22</v>
      </c>
      <c r="D318" s="13" t="s">
        <v>35</v>
      </c>
      <c r="E318" s="17" t="s">
        <v>325</v>
      </c>
      <c r="F318" s="17">
        <v>200</v>
      </c>
      <c r="G318" s="19">
        <f>206778.8+480911.2+1286000-69248.31-131994-199500-101750-106144-9113.64-178446.52</f>
        <v>1177493.53</v>
      </c>
    </row>
    <row r="319" spans="1:8" ht="78.75" customHeight="1">
      <c r="A319" s="29" t="s">
        <v>398</v>
      </c>
      <c r="B319" s="13" t="s">
        <v>97</v>
      </c>
      <c r="C319" s="13" t="s">
        <v>396</v>
      </c>
      <c r="D319" s="13" t="s">
        <v>35</v>
      </c>
      <c r="E319" s="17" t="s">
        <v>397</v>
      </c>
      <c r="F319" s="17">
        <v>400</v>
      </c>
      <c r="G319" s="19">
        <f>1840000-542640</f>
        <v>1297360</v>
      </c>
    </row>
    <row r="320" spans="1:8" ht="75" customHeight="1">
      <c r="A320" s="29" t="s">
        <v>441</v>
      </c>
      <c r="B320" s="13" t="s">
        <v>97</v>
      </c>
      <c r="C320" s="13" t="s">
        <v>22</v>
      </c>
      <c r="D320" s="13" t="s">
        <v>35</v>
      </c>
      <c r="E320" s="17" t="s">
        <v>440</v>
      </c>
      <c r="F320" s="17">
        <v>200</v>
      </c>
      <c r="G320" s="19">
        <v>200000</v>
      </c>
    </row>
    <row r="321" spans="1:7" ht="75.75" customHeight="1">
      <c r="A321" s="29" t="s">
        <v>492</v>
      </c>
      <c r="B321" s="13" t="s">
        <v>97</v>
      </c>
      <c r="C321" s="13" t="s">
        <v>22</v>
      </c>
      <c r="D321" s="13" t="s">
        <v>35</v>
      </c>
      <c r="E321" s="17" t="s">
        <v>491</v>
      </c>
      <c r="F321" s="17">
        <v>400</v>
      </c>
      <c r="G321" s="19">
        <f>3489920-17025.6</f>
        <v>3472894.4</v>
      </c>
    </row>
    <row r="322" spans="1:7" ht="88.5" customHeight="1">
      <c r="A322" s="29" t="s">
        <v>503</v>
      </c>
      <c r="B322" s="13" t="s">
        <v>211</v>
      </c>
      <c r="C322" s="13" t="s">
        <v>22</v>
      </c>
      <c r="D322" s="13" t="s">
        <v>35</v>
      </c>
      <c r="E322" s="17" t="s">
        <v>502</v>
      </c>
      <c r="F322" s="17">
        <v>200</v>
      </c>
      <c r="G322" s="19">
        <v>46354</v>
      </c>
    </row>
    <row r="323" spans="1:7" ht="111" customHeight="1">
      <c r="A323" s="29" t="s">
        <v>374</v>
      </c>
      <c r="B323" s="13" t="s">
        <v>97</v>
      </c>
      <c r="C323" s="13" t="s">
        <v>22</v>
      </c>
      <c r="D323" s="13" t="s">
        <v>35</v>
      </c>
      <c r="E323" s="17" t="s">
        <v>373</v>
      </c>
      <c r="F323" s="17">
        <v>200</v>
      </c>
      <c r="G323" s="19">
        <v>12104450.550000001</v>
      </c>
    </row>
    <row r="324" spans="1:7" ht="50.25" customHeight="1">
      <c r="A324" s="29" t="s">
        <v>562</v>
      </c>
      <c r="B324" s="13" t="s">
        <v>97</v>
      </c>
      <c r="C324" s="13" t="s">
        <v>22</v>
      </c>
      <c r="D324" s="13" t="s">
        <v>35</v>
      </c>
      <c r="E324" s="17" t="s">
        <v>561</v>
      </c>
      <c r="F324" s="17">
        <v>200</v>
      </c>
      <c r="G324" s="19">
        <f>131994+199500+101750</f>
        <v>433244</v>
      </c>
    </row>
    <row r="325" spans="1:7" ht="67.5" customHeight="1">
      <c r="A325" s="21" t="s">
        <v>505</v>
      </c>
      <c r="B325" s="13" t="s">
        <v>97</v>
      </c>
      <c r="C325" s="13" t="s">
        <v>22</v>
      </c>
      <c r="D325" s="13" t="s">
        <v>35</v>
      </c>
      <c r="E325" s="17" t="s">
        <v>504</v>
      </c>
      <c r="F325" s="13" t="s">
        <v>26</v>
      </c>
      <c r="G325" s="19">
        <v>37500</v>
      </c>
    </row>
    <row r="326" spans="1:7" ht="86.25" customHeight="1">
      <c r="A326" s="28" t="s">
        <v>154</v>
      </c>
      <c r="B326" s="13" t="s">
        <v>97</v>
      </c>
      <c r="C326" s="13" t="s">
        <v>27</v>
      </c>
      <c r="D326" s="13" t="s">
        <v>18</v>
      </c>
      <c r="E326" s="17" t="s">
        <v>149</v>
      </c>
      <c r="F326" s="13" t="s">
        <v>24</v>
      </c>
      <c r="G326" s="19">
        <f>80000-2209.2</f>
        <v>77790.8</v>
      </c>
    </row>
    <row r="327" spans="1:7" ht="73.5" customHeight="1">
      <c r="A327" s="28" t="s">
        <v>190</v>
      </c>
      <c r="B327" s="13" t="s">
        <v>97</v>
      </c>
      <c r="C327" s="13" t="s">
        <v>27</v>
      </c>
      <c r="D327" s="13" t="s">
        <v>18</v>
      </c>
      <c r="E327" s="17" t="s">
        <v>178</v>
      </c>
      <c r="F327" s="13" t="s">
        <v>24</v>
      </c>
      <c r="G327" s="19">
        <f>402341.38-55544</f>
        <v>346797.38</v>
      </c>
    </row>
    <row r="328" spans="1:7" ht="73.5" customHeight="1">
      <c r="A328" s="28" t="s">
        <v>594</v>
      </c>
      <c r="B328" s="13" t="s">
        <v>97</v>
      </c>
      <c r="C328" s="13" t="s">
        <v>27</v>
      </c>
      <c r="D328" s="13" t="s">
        <v>18</v>
      </c>
      <c r="E328" s="17" t="s">
        <v>593</v>
      </c>
      <c r="F328" s="13" t="s">
        <v>24</v>
      </c>
      <c r="G328" s="19">
        <v>55544</v>
      </c>
    </row>
    <row r="329" spans="1:7" ht="190.5" customHeight="1">
      <c r="A329" s="30" t="s">
        <v>276</v>
      </c>
      <c r="B329" s="13" t="s">
        <v>97</v>
      </c>
      <c r="C329" s="13" t="s">
        <v>27</v>
      </c>
      <c r="D329" s="13" t="s">
        <v>18</v>
      </c>
      <c r="E329" s="17" t="s">
        <v>275</v>
      </c>
      <c r="F329" s="13" t="s">
        <v>26</v>
      </c>
      <c r="G329" s="19">
        <f>456067.61+209411.21+2750.31</f>
        <v>668229.13</v>
      </c>
    </row>
    <row r="330" spans="1:7" ht="102.75" customHeight="1">
      <c r="A330" s="30" t="s">
        <v>324</v>
      </c>
      <c r="B330" s="13" t="s">
        <v>97</v>
      </c>
      <c r="C330" s="13" t="s">
        <v>27</v>
      </c>
      <c r="D330" s="13" t="s">
        <v>19</v>
      </c>
      <c r="E330" s="17" t="s">
        <v>323</v>
      </c>
      <c r="F330" s="13" t="s">
        <v>24</v>
      </c>
      <c r="G330" s="19">
        <f>451343.67+477531.27+297960.65-7643.26-10000+690254.46</f>
        <v>1899446.7899999998</v>
      </c>
    </row>
    <row r="331" spans="1:7" ht="96" customHeight="1">
      <c r="A331" s="28" t="s">
        <v>233</v>
      </c>
      <c r="B331" s="13" t="s">
        <v>97</v>
      </c>
      <c r="C331" s="13" t="s">
        <v>27</v>
      </c>
      <c r="D331" s="13" t="s">
        <v>19</v>
      </c>
      <c r="E331" s="17" t="s">
        <v>210</v>
      </c>
      <c r="F331" s="13" t="s">
        <v>183</v>
      </c>
      <c r="G331" s="19">
        <v>706694.36</v>
      </c>
    </row>
    <row r="332" spans="1:7" ht="105" customHeight="1">
      <c r="A332" s="28" t="s">
        <v>277</v>
      </c>
      <c r="B332" s="13" t="s">
        <v>97</v>
      </c>
      <c r="C332" s="13" t="s">
        <v>27</v>
      </c>
      <c r="D332" s="13" t="s">
        <v>19</v>
      </c>
      <c r="E332" s="17" t="s">
        <v>302</v>
      </c>
      <c r="F332" s="13" t="s">
        <v>183</v>
      </c>
      <c r="G332" s="19">
        <v>500000</v>
      </c>
    </row>
    <row r="333" spans="1:7" ht="75" customHeight="1">
      <c r="A333" s="28" t="s">
        <v>213</v>
      </c>
      <c r="B333" s="13" t="s">
        <v>211</v>
      </c>
      <c r="C333" s="13" t="s">
        <v>212</v>
      </c>
      <c r="D333" s="13" t="s">
        <v>19</v>
      </c>
      <c r="E333" s="17" t="s">
        <v>232</v>
      </c>
      <c r="F333" s="13" t="s">
        <v>24</v>
      </c>
      <c r="G333" s="19">
        <f>1600000+100029.84-14398.01-24216-20196-24957.27-8619-222208.01</f>
        <v>1385435.55</v>
      </c>
    </row>
    <row r="334" spans="1:7" ht="85.5" customHeight="1">
      <c r="A334" s="30" t="s">
        <v>238</v>
      </c>
      <c r="B334" s="13" t="s">
        <v>97</v>
      </c>
      <c r="C334" s="13" t="s">
        <v>27</v>
      </c>
      <c r="D334" s="13" t="s">
        <v>19</v>
      </c>
      <c r="E334" s="17" t="s">
        <v>237</v>
      </c>
      <c r="F334" s="13" t="s">
        <v>24</v>
      </c>
      <c r="G334" s="19">
        <f>600000+343811.67+106144+222208.01</f>
        <v>1272163.68</v>
      </c>
    </row>
    <row r="335" spans="1:7" ht="117.75" customHeight="1">
      <c r="A335" s="30" t="s">
        <v>382</v>
      </c>
      <c r="B335" s="13" t="s">
        <v>97</v>
      </c>
      <c r="C335" s="13" t="s">
        <v>27</v>
      </c>
      <c r="D335" s="13" t="s">
        <v>19</v>
      </c>
      <c r="E335" s="17" t="s">
        <v>381</v>
      </c>
      <c r="F335" s="13" t="s">
        <v>24</v>
      </c>
      <c r="G335" s="19">
        <v>671.04</v>
      </c>
    </row>
    <row r="336" spans="1:7" ht="75">
      <c r="A336" s="30" t="s">
        <v>384</v>
      </c>
      <c r="B336" s="13" t="s">
        <v>97</v>
      </c>
      <c r="C336" s="13" t="s">
        <v>27</v>
      </c>
      <c r="D336" s="13" t="s">
        <v>19</v>
      </c>
      <c r="E336" s="17" t="s">
        <v>383</v>
      </c>
      <c r="F336" s="13" t="s">
        <v>24</v>
      </c>
      <c r="G336" s="19">
        <v>2236.8000000000002</v>
      </c>
    </row>
    <row r="337" spans="1:7" ht="75">
      <c r="A337" s="30" t="s">
        <v>525</v>
      </c>
      <c r="B337" s="13" t="s">
        <v>97</v>
      </c>
      <c r="C337" s="13" t="s">
        <v>27</v>
      </c>
      <c r="D337" s="13" t="s">
        <v>19</v>
      </c>
      <c r="E337" s="17" t="s">
        <v>524</v>
      </c>
      <c r="F337" s="17">
        <v>200</v>
      </c>
      <c r="G337" s="19">
        <v>87000</v>
      </c>
    </row>
    <row r="338" spans="1:7" ht="112.5">
      <c r="A338" s="30" t="s">
        <v>544</v>
      </c>
      <c r="B338" s="13" t="s">
        <v>97</v>
      </c>
      <c r="C338" s="13" t="s">
        <v>27</v>
      </c>
      <c r="D338" s="13" t="s">
        <v>19</v>
      </c>
      <c r="E338" s="17" t="s">
        <v>543</v>
      </c>
      <c r="F338" s="17">
        <v>200</v>
      </c>
      <c r="G338" s="19">
        <v>20000</v>
      </c>
    </row>
    <row r="339" spans="1:7" ht="107.25" customHeight="1">
      <c r="A339" s="30" t="s">
        <v>546</v>
      </c>
      <c r="B339" s="13" t="s">
        <v>97</v>
      </c>
      <c r="C339" s="13" t="s">
        <v>27</v>
      </c>
      <c r="D339" s="13" t="s">
        <v>19</v>
      </c>
      <c r="E339" s="17" t="s">
        <v>545</v>
      </c>
      <c r="F339" s="17">
        <v>200</v>
      </c>
      <c r="G339" s="19">
        <f>290000+24216+20196</f>
        <v>334412</v>
      </c>
    </row>
    <row r="340" spans="1:7" ht="85.5" customHeight="1">
      <c r="A340" s="30" t="s">
        <v>322</v>
      </c>
      <c r="B340" s="13" t="s">
        <v>97</v>
      </c>
      <c r="C340" s="13" t="s">
        <v>27</v>
      </c>
      <c r="D340" s="13" t="s">
        <v>19</v>
      </c>
      <c r="E340" s="17" t="s">
        <v>321</v>
      </c>
      <c r="F340" s="13" t="s">
        <v>183</v>
      </c>
      <c r="G340" s="19">
        <f>120000+130000</f>
        <v>250000</v>
      </c>
    </row>
    <row r="341" spans="1:7" ht="56.25" customHeight="1">
      <c r="A341" s="30" t="s">
        <v>376</v>
      </c>
      <c r="B341" s="13" t="s">
        <v>97</v>
      </c>
      <c r="C341" s="13" t="s">
        <v>27</v>
      </c>
      <c r="D341" s="13" t="s">
        <v>19</v>
      </c>
      <c r="E341" s="17" t="s">
        <v>375</v>
      </c>
      <c r="F341" s="13" t="s">
        <v>24</v>
      </c>
      <c r="G341" s="19">
        <v>120000</v>
      </c>
    </row>
    <row r="342" spans="1:7" ht="117" customHeight="1">
      <c r="A342" s="30" t="s">
        <v>386</v>
      </c>
      <c r="B342" s="13" t="s">
        <v>211</v>
      </c>
      <c r="C342" s="13" t="s">
        <v>27</v>
      </c>
      <c r="D342" s="13" t="s">
        <v>19</v>
      </c>
      <c r="E342" s="17" t="s">
        <v>385</v>
      </c>
      <c r="F342" s="13" t="s">
        <v>24</v>
      </c>
      <c r="G342" s="19">
        <v>524.1</v>
      </c>
    </row>
    <row r="343" spans="1:7" ht="93" customHeight="1">
      <c r="A343" s="30" t="s">
        <v>388</v>
      </c>
      <c r="B343" s="13" t="s">
        <v>97</v>
      </c>
      <c r="C343" s="13" t="s">
        <v>27</v>
      </c>
      <c r="D343" s="13" t="s">
        <v>19</v>
      </c>
      <c r="E343" s="17" t="s">
        <v>387</v>
      </c>
      <c r="F343" s="13" t="s">
        <v>24</v>
      </c>
      <c r="G343" s="19">
        <v>5577.35</v>
      </c>
    </row>
    <row r="344" spans="1:7" ht="52.5" customHeight="1">
      <c r="A344" s="28" t="s">
        <v>527</v>
      </c>
      <c r="B344" s="13" t="s">
        <v>97</v>
      </c>
      <c r="C344" s="13" t="s">
        <v>27</v>
      </c>
      <c r="D344" s="13" t="s">
        <v>19</v>
      </c>
      <c r="E344" s="17" t="s">
        <v>526</v>
      </c>
      <c r="F344" s="13" t="s">
        <v>26</v>
      </c>
      <c r="G344" s="19">
        <v>50000</v>
      </c>
    </row>
    <row r="345" spans="1:7" ht="54.75" customHeight="1">
      <c r="A345" s="28" t="s">
        <v>279</v>
      </c>
      <c r="B345" s="13" t="s">
        <v>97</v>
      </c>
      <c r="C345" s="13" t="s">
        <v>27</v>
      </c>
      <c r="D345" s="13" t="s">
        <v>37</v>
      </c>
      <c r="E345" s="17" t="s">
        <v>278</v>
      </c>
      <c r="F345" s="13" t="s">
        <v>24</v>
      </c>
      <c r="G345" s="19">
        <f>250000+1444523.4-99000</f>
        <v>1595523.4</v>
      </c>
    </row>
    <row r="346" spans="1:7" ht="91.5" customHeight="1">
      <c r="A346" s="30" t="s">
        <v>280</v>
      </c>
      <c r="B346" s="13" t="s">
        <v>97</v>
      </c>
      <c r="C346" s="13" t="s">
        <v>27</v>
      </c>
      <c r="D346" s="13" t="s">
        <v>37</v>
      </c>
      <c r="E346" s="17" t="s">
        <v>281</v>
      </c>
      <c r="F346" s="13" t="s">
        <v>24</v>
      </c>
      <c r="G346" s="19">
        <f>250000-99000</f>
        <v>151000</v>
      </c>
    </row>
    <row r="347" spans="1:7" ht="91.5" customHeight="1">
      <c r="A347" s="29" t="s">
        <v>549</v>
      </c>
      <c r="B347" s="13" t="s">
        <v>97</v>
      </c>
      <c r="C347" s="13" t="s">
        <v>27</v>
      </c>
      <c r="D347" s="13" t="s">
        <v>37</v>
      </c>
      <c r="E347" s="17" t="s">
        <v>551</v>
      </c>
      <c r="F347" s="17">
        <v>200</v>
      </c>
      <c r="G347" s="19">
        <v>99000</v>
      </c>
    </row>
    <row r="348" spans="1:7" ht="127.5" customHeight="1">
      <c r="A348" s="29" t="s">
        <v>550</v>
      </c>
      <c r="B348" s="13" t="s">
        <v>97</v>
      </c>
      <c r="C348" s="13" t="s">
        <v>27</v>
      </c>
      <c r="D348" s="13" t="s">
        <v>37</v>
      </c>
      <c r="E348" s="17" t="s">
        <v>552</v>
      </c>
      <c r="F348" s="17">
        <v>200</v>
      </c>
      <c r="G348" s="19">
        <v>99000</v>
      </c>
    </row>
    <row r="349" spans="1:7" ht="93" customHeight="1">
      <c r="A349" s="28" t="s">
        <v>283</v>
      </c>
      <c r="B349" s="13" t="s">
        <v>97</v>
      </c>
      <c r="C349" s="13" t="s">
        <v>27</v>
      </c>
      <c r="D349" s="13" t="s">
        <v>37</v>
      </c>
      <c r="E349" s="17" t="s">
        <v>282</v>
      </c>
      <c r="F349" s="13" t="s">
        <v>183</v>
      </c>
      <c r="G349" s="19">
        <v>618553.61</v>
      </c>
    </row>
    <row r="350" spans="1:7" ht="87.75" customHeight="1">
      <c r="A350" s="28" t="s">
        <v>174</v>
      </c>
      <c r="B350" s="13" t="s">
        <v>97</v>
      </c>
      <c r="C350" s="13" t="s">
        <v>27</v>
      </c>
      <c r="D350" s="13" t="s">
        <v>37</v>
      </c>
      <c r="E350" s="17" t="s">
        <v>150</v>
      </c>
      <c r="F350" s="13" t="s">
        <v>24</v>
      </c>
      <c r="G350" s="19">
        <f>500000+14252+326402.26+218869.01-541.11</f>
        <v>1058982.1599999999</v>
      </c>
    </row>
    <row r="351" spans="1:7" ht="99" customHeight="1">
      <c r="A351" s="32" t="s">
        <v>98</v>
      </c>
      <c r="B351" s="13" t="s">
        <v>97</v>
      </c>
      <c r="C351" s="13" t="s">
        <v>39</v>
      </c>
      <c r="D351" s="13" t="s">
        <v>27</v>
      </c>
      <c r="E351" s="17" t="s">
        <v>87</v>
      </c>
      <c r="F351" s="13" t="s">
        <v>24</v>
      </c>
      <c r="G351" s="19">
        <f>6500+4400</f>
        <v>10900</v>
      </c>
    </row>
    <row r="352" spans="1:7" s="7" customFormat="1" ht="35.25" customHeight="1">
      <c r="A352" s="10" t="s">
        <v>203</v>
      </c>
      <c r="B352" s="14"/>
      <c r="C352" s="14"/>
      <c r="D352" s="14"/>
      <c r="E352" s="14"/>
      <c r="F352" s="14"/>
      <c r="G352" s="12">
        <f>G304+G292+G267+G161+G154+G144+G28</f>
        <v>528796997.18000007</v>
      </c>
    </row>
    <row r="353" spans="1:7" s="5" customFormat="1" ht="24" customHeight="1">
      <c r="A353" s="8"/>
      <c r="B353" s="9"/>
      <c r="C353" s="9"/>
      <c r="D353" s="9"/>
      <c r="E353" s="9"/>
      <c r="F353" s="9"/>
      <c r="G353" s="35" t="s">
        <v>399</v>
      </c>
    </row>
    <row r="354" spans="1:7" s="5" customFormat="1">
      <c r="A354" s="1"/>
      <c r="B354" s="1"/>
      <c r="C354" s="1"/>
      <c r="D354" s="1"/>
      <c r="E354" s="1"/>
      <c r="F354" s="1"/>
    </row>
    <row r="355" spans="1:7">
      <c r="B355" s="1"/>
      <c r="C355" s="1"/>
      <c r="D355" s="1"/>
      <c r="E355" s="1"/>
      <c r="F355" s="1"/>
    </row>
    <row r="356" spans="1:7">
      <c r="B356" s="1"/>
      <c r="C356" s="1"/>
      <c r="D356" s="1"/>
      <c r="E356" s="1"/>
      <c r="F356" s="1"/>
    </row>
    <row r="357" spans="1:7">
      <c r="B357" s="1"/>
      <c r="C357" s="1"/>
      <c r="D357" s="1"/>
      <c r="E357" s="1"/>
      <c r="F357" s="1"/>
    </row>
    <row r="358" spans="1:7">
      <c r="B358" s="1"/>
      <c r="C358" s="1"/>
      <c r="D358" s="1"/>
      <c r="E358" s="1"/>
      <c r="F358" s="1"/>
    </row>
    <row r="359" spans="1:7">
      <c r="B359" s="1"/>
      <c r="C359" s="1"/>
      <c r="D359" s="1"/>
      <c r="E359" s="1"/>
      <c r="F359" s="1"/>
    </row>
    <row r="360" spans="1:7">
      <c r="B360" s="1"/>
      <c r="C360" s="1"/>
      <c r="D360" s="1"/>
      <c r="E360" s="1"/>
      <c r="F360" s="1"/>
    </row>
    <row r="361" spans="1:7">
      <c r="B361" s="1"/>
      <c r="C361" s="1"/>
      <c r="D361" s="1"/>
      <c r="E361" s="1"/>
      <c r="F361" s="1"/>
    </row>
    <row r="362" spans="1:7">
      <c r="B362" s="1"/>
      <c r="C362" s="1"/>
      <c r="D362" s="1"/>
      <c r="E362" s="1"/>
      <c r="F362" s="1"/>
    </row>
    <row r="363" spans="1:7">
      <c r="B363" s="1"/>
      <c r="C363" s="1"/>
      <c r="D363" s="1"/>
      <c r="E363" s="1"/>
      <c r="F363" s="1"/>
    </row>
    <row r="364" spans="1:7">
      <c r="B364" s="1"/>
      <c r="C364" s="1"/>
      <c r="D364" s="1"/>
      <c r="E364" s="1"/>
      <c r="F364" s="1"/>
    </row>
    <row r="365" spans="1:7">
      <c r="B365" s="1"/>
      <c r="C365" s="1"/>
      <c r="D365" s="1"/>
      <c r="E365" s="1"/>
      <c r="F365" s="1"/>
    </row>
    <row r="366" spans="1:7">
      <c r="B366" s="1"/>
      <c r="C366" s="1"/>
      <c r="D366" s="1"/>
      <c r="E366" s="1"/>
      <c r="F366" s="1"/>
    </row>
    <row r="367" spans="1:7">
      <c r="B367" s="1"/>
      <c r="C367" s="1"/>
      <c r="D367" s="1"/>
      <c r="E367" s="1"/>
      <c r="F367" s="1"/>
    </row>
    <row r="368" spans="1:7">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row r="391" spans="2:6">
      <c r="B391" s="1"/>
      <c r="C391" s="1"/>
      <c r="D391" s="1"/>
      <c r="E391" s="1"/>
      <c r="F391" s="1"/>
    </row>
    <row r="392" spans="2:6">
      <c r="B392" s="1"/>
      <c r="C392" s="1"/>
      <c r="D392" s="1"/>
      <c r="E392" s="1"/>
      <c r="F392" s="1"/>
    </row>
    <row r="393" spans="2:6">
      <c r="B393" s="1"/>
      <c r="C393" s="1"/>
      <c r="D393" s="1"/>
      <c r="E393" s="1"/>
      <c r="F393" s="1"/>
    </row>
    <row r="394" spans="2:6">
      <c r="B394" s="1"/>
      <c r="C394" s="1"/>
      <c r="D394" s="1"/>
      <c r="E394" s="1"/>
      <c r="F394" s="1"/>
    </row>
    <row r="395" spans="2:6">
      <c r="B395" s="1"/>
      <c r="C395" s="1"/>
      <c r="D395" s="1"/>
      <c r="E395" s="1"/>
      <c r="F395" s="1"/>
    </row>
    <row r="396" spans="2:6">
      <c r="B396" s="1"/>
      <c r="C396" s="1"/>
      <c r="D396" s="1"/>
      <c r="E396" s="1"/>
      <c r="F396" s="1"/>
    </row>
    <row r="397" spans="2:6">
      <c r="B397" s="1"/>
      <c r="C397" s="1"/>
      <c r="D397" s="1"/>
      <c r="E397" s="1"/>
      <c r="F397" s="1"/>
    </row>
    <row r="398" spans="2:6">
      <c r="B398" s="1"/>
      <c r="C398" s="1"/>
      <c r="D398" s="1"/>
      <c r="E398" s="1"/>
      <c r="F398" s="1"/>
    </row>
    <row r="399" spans="2:6">
      <c r="B399" s="1"/>
      <c r="C399" s="1"/>
      <c r="D399" s="1"/>
      <c r="E399" s="1"/>
      <c r="F399" s="1"/>
    </row>
    <row r="400" spans="2:6">
      <c r="B400" s="1"/>
      <c r="C400" s="1"/>
      <c r="D400" s="1"/>
      <c r="E400" s="1"/>
      <c r="F400" s="1"/>
    </row>
    <row r="401" spans="2:6">
      <c r="B401" s="1"/>
      <c r="C401" s="1"/>
      <c r="D401" s="1"/>
      <c r="E401" s="1"/>
      <c r="F401" s="1"/>
    </row>
    <row r="402" spans="2:6">
      <c r="B402" s="1"/>
      <c r="C402" s="1"/>
      <c r="D402" s="1"/>
      <c r="E402" s="1"/>
      <c r="F402" s="1"/>
    </row>
    <row r="403" spans="2:6">
      <c r="B403" s="1"/>
      <c r="C403" s="1"/>
      <c r="D403" s="1"/>
      <c r="E403" s="1"/>
      <c r="F403" s="1"/>
    </row>
    <row r="404" spans="2:6">
      <c r="B404" s="1"/>
      <c r="C404" s="1"/>
      <c r="D404" s="1"/>
      <c r="E404" s="1"/>
      <c r="F404" s="1"/>
    </row>
    <row r="405" spans="2:6">
      <c r="B405" s="1"/>
      <c r="C405" s="1"/>
      <c r="D405" s="1"/>
      <c r="E405" s="1"/>
      <c r="F405" s="1"/>
    </row>
    <row r="406" spans="2:6">
      <c r="B406" s="1"/>
      <c r="C406" s="1"/>
      <c r="D406" s="1"/>
      <c r="E406" s="1"/>
      <c r="F406" s="1"/>
    </row>
    <row r="407" spans="2:6">
      <c r="B407" s="1"/>
      <c r="C407" s="1"/>
      <c r="D407" s="1"/>
      <c r="E407" s="1"/>
      <c r="F407" s="1"/>
    </row>
    <row r="408" spans="2:6">
      <c r="B408" s="1"/>
      <c r="C408" s="1"/>
      <c r="D408" s="1"/>
      <c r="E408" s="1"/>
      <c r="F408" s="1"/>
    </row>
    <row r="409" spans="2:6">
      <c r="B409" s="1"/>
      <c r="C409" s="1"/>
      <c r="D409" s="1"/>
      <c r="E409" s="1"/>
      <c r="F409" s="1"/>
    </row>
    <row r="410" spans="2:6">
      <c r="B410" s="1"/>
      <c r="C410" s="1"/>
      <c r="D410" s="1"/>
      <c r="E410" s="1"/>
      <c r="F410" s="1"/>
    </row>
    <row r="411" spans="2:6">
      <c r="B411" s="1"/>
      <c r="C411" s="1"/>
      <c r="D411" s="1"/>
      <c r="E411" s="1"/>
      <c r="F411" s="1"/>
    </row>
    <row r="412" spans="2:6">
      <c r="B412" s="1"/>
      <c r="C412" s="1"/>
      <c r="D412" s="1"/>
      <c r="E412" s="1"/>
      <c r="F412" s="1"/>
    </row>
    <row r="413" spans="2:6">
      <c r="B413" s="1"/>
      <c r="C413" s="1"/>
      <c r="D413" s="1"/>
      <c r="E413" s="1"/>
      <c r="F413" s="1"/>
    </row>
    <row r="414" spans="2:6">
      <c r="B414" s="1"/>
      <c r="C414" s="1"/>
      <c r="D414" s="1"/>
      <c r="E414" s="1"/>
      <c r="F414" s="1"/>
    </row>
    <row r="415" spans="2:6">
      <c r="B415" s="1"/>
      <c r="C415" s="1"/>
      <c r="D415" s="1"/>
      <c r="E415" s="1"/>
      <c r="F415" s="1"/>
    </row>
    <row r="416" spans="2:6">
      <c r="B416" s="1"/>
      <c r="C416" s="1"/>
      <c r="D416" s="1"/>
      <c r="E416" s="1"/>
      <c r="F416" s="1"/>
    </row>
    <row r="417" spans="2:6">
      <c r="B417" s="1"/>
      <c r="C417" s="1"/>
      <c r="D417" s="1"/>
      <c r="E417" s="1"/>
      <c r="F417" s="1"/>
    </row>
    <row r="418" spans="2:6">
      <c r="B418" s="1"/>
      <c r="C418" s="1"/>
      <c r="D418" s="1"/>
      <c r="E418" s="1"/>
      <c r="F418" s="1"/>
    </row>
    <row r="419" spans="2:6">
      <c r="B419" s="1"/>
      <c r="C419" s="1"/>
      <c r="D419" s="1"/>
      <c r="E419" s="1"/>
      <c r="F419" s="1"/>
    </row>
    <row r="420" spans="2:6">
      <c r="B420" s="1"/>
      <c r="C420" s="1"/>
      <c r="D420" s="1"/>
      <c r="E420" s="1"/>
      <c r="F420" s="1"/>
    </row>
    <row r="421" spans="2:6">
      <c r="B421" s="1"/>
      <c r="C421" s="1"/>
      <c r="D421" s="1"/>
      <c r="E421" s="1"/>
      <c r="F421" s="1"/>
    </row>
    <row r="422" spans="2:6">
      <c r="B422" s="1"/>
      <c r="C422" s="1"/>
      <c r="D422" s="1"/>
      <c r="E422" s="1"/>
      <c r="F422" s="1"/>
    </row>
    <row r="423" spans="2:6">
      <c r="B423" s="1"/>
      <c r="C423" s="1"/>
      <c r="D423" s="1"/>
      <c r="E423" s="1"/>
      <c r="F423" s="1"/>
    </row>
    <row r="424" spans="2:6">
      <c r="B424" s="1"/>
      <c r="C424" s="1"/>
      <c r="D424" s="1"/>
      <c r="E424" s="1"/>
      <c r="F424" s="1"/>
    </row>
    <row r="425" spans="2:6">
      <c r="B425" s="1"/>
      <c r="C425" s="1"/>
      <c r="D425" s="1"/>
      <c r="E425" s="1"/>
      <c r="F425" s="1"/>
    </row>
    <row r="426" spans="2:6">
      <c r="B426" s="1"/>
      <c r="C426" s="1"/>
      <c r="D426" s="1"/>
      <c r="E426" s="1"/>
      <c r="F426" s="1"/>
    </row>
    <row r="427" spans="2:6">
      <c r="B427" s="1"/>
      <c r="C427" s="1"/>
      <c r="D427" s="1"/>
      <c r="E427" s="1"/>
      <c r="F427" s="1"/>
    </row>
    <row r="428" spans="2:6">
      <c r="B428" s="1"/>
      <c r="C428" s="1"/>
      <c r="D428" s="1"/>
      <c r="E428" s="1"/>
      <c r="F428" s="1"/>
    </row>
    <row r="429" spans="2:6">
      <c r="B429" s="1"/>
      <c r="C429" s="1"/>
      <c r="D429" s="1"/>
      <c r="E429" s="1"/>
      <c r="F429" s="1"/>
    </row>
    <row r="430" spans="2:6">
      <c r="B430" s="1"/>
      <c r="C430" s="1"/>
      <c r="D430" s="1"/>
      <c r="E430" s="1"/>
      <c r="F430" s="1"/>
    </row>
    <row r="431" spans="2:6">
      <c r="B431" s="1"/>
      <c r="C431" s="1"/>
      <c r="D431" s="1"/>
      <c r="E431" s="1"/>
      <c r="F431" s="1"/>
    </row>
    <row r="432" spans="2:6">
      <c r="B432" s="1"/>
      <c r="C432" s="1"/>
      <c r="D432" s="1"/>
      <c r="E432" s="1"/>
      <c r="F432" s="1"/>
    </row>
    <row r="433" spans="2:6">
      <c r="B433" s="1"/>
      <c r="C433" s="1"/>
      <c r="D433" s="1"/>
      <c r="E433" s="1"/>
      <c r="F433" s="1"/>
    </row>
    <row r="434" spans="2:6">
      <c r="B434" s="1"/>
      <c r="C434" s="1"/>
      <c r="D434" s="1"/>
      <c r="E434" s="1"/>
      <c r="F434" s="1"/>
    </row>
    <row r="435" spans="2:6">
      <c r="B435" s="1"/>
      <c r="C435" s="1"/>
      <c r="D435" s="1"/>
      <c r="E435" s="1"/>
      <c r="F435" s="1"/>
    </row>
    <row r="436" spans="2:6">
      <c r="B436" s="1"/>
      <c r="C436" s="1"/>
      <c r="D436" s="1"/>
      <c r="E436" s="1"/>
      <c r="F436" s="1"/>
    </row>
    <row r="437" spans="2:6">
      <c r="B437" s="1"/>
      <c r="C437" s="1"/>
      <c r="D437" s="1"/>
      <c r="E437" s="1"/>
      <c r="F437" s="1"/>
    </row>
    <row r="438" spans="2:6">
      <c r="B438" s="1"/>
      <c r="C438" s="1"/>
      <c r="D438" s="1"/>
      <c r="E438" s="1"/>
      <c r="F438" s="1"/>
    </row>
    <row r="439" spans="2:6">
      <c r="B439" s="1"/>
      <c r="C439" s="1"/>
      <c r="D439" s="1"/>
      <c r="E439" s="1"/>
      <c r="F439" s="1"/>
    </row>
    <row r="440" spans="2:6">
      <c r="B440" s="1"/>
      <c r="C440" s="1"/>
      <c r="D440" s="1"/>
      <c r="E440" s="1"/>
      <c r="F440" s="1"/>
    </row>
    <row r="441" spans="2:6">
      <c r="B441" s="1"/>
      <c r="C441" s="1"/>
      <c r="D441" s="1"/>
      <c r="E441" s="1"/>
      <c r="F441" s="1"/>
    </row>
    <row r="442" spans="2:6">
      <c r="B442" s="1"/>
      <c r="C442" s="1"/>
      <c r="D442" s="1"/>
      <c r="E442" s="1"/>
      <c r="F442" s="1"/>
    </row>
    <row r="443" spans="2:6">
      <c r="B443" s="1"/>
      <c r="C443" s="1"/>
      <c r="D443" s="1"/>
      <c r="E443" s="1"/>
      <c r="F443" s="1"/>
    </row>
  </sheetData>
  <mergeCells count="28">
    <mergeCell ref="E11:G11"/>
    <mergeCell ref="E6:G6"/>
    <mergeCell ref="E7:G7"/>
    <mergeCell ref="E8:G8"/>
    <mergeCell ref="E9:G9"/>
    <mergeCell ref="E10:G10"/>
    <mergeCell ref="E1:G1"/>
    <mergeCell ref="E2:G2"/>
    <mergeCell ref="E3:G3"/>
    <mergeCell ref="E4:G4"/>
    <mergeCell ref="E5:G5"/>
    <mergeCell ref="E13:G13"/>
    <mergeCell ref="A22:G22"/>
    <mergeCell ref="E20:G20"/>
    <mergeCell ref="E19:G19"/>
    <mergeCell ref="E18:G18"/>
    <mergeCell ref="E17:G17"/>
    <mergeCell ref="E16:G16"/>
    <mergeCell ref="E15:G15"/>
    <mergeCell ref="E14:G14"/>
    <mergeCell ref="A23:G23"/>
    <mergeCell ref="E24:E26"/>
    <mergeCell ref="F24:F26"/>
    <mergeCell ref="A24:A26"/>
    <mergeCell ref="B24:B26"/>
    <mergeCell ref="C24:C26"/>
    <mergeCell ref="D24:D26"/>
    <mergeCell ref="G24:G26"/>
  </mergeCells>
  <pageMargins left="1.1023622047244095" right="0.78740157480314965" top="0.78740157480314965" bottom="0.78740157480314965"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2023-12-15T06:41:19Z</dcterms:modified>
</cp:coreProperties>
</file>