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159" i="1" l="1"/>
  <c r="D263" i="1" l="1"/>
  <c r="D261" i="1"/>
  <c r="D154" i="1" l="1"/>
  <c r="D107" i="1"/>
  <c r="D310" i="1"/>
  <c r="D281" i="1"/>
  <c r="D209" i="1"/>
  <c r="D157" i="1"/>
  <c r="D61" i="1"/>
  <c r="D328" i="1"/>
  <c r="D325" i="1"/>
  <c r="D313" i="1"/>
  <c r="D312" i="1"/>
  <c r="D282" i="1"/>
  <c r="D280" i="1"/>
  <c r="D262" i="1"/>
  <c r="D231" i="1"/>
  <c r="D217" i="1"/>
  <c r="D211" i="1"/>
  <c r="D193" i="1"/>
  <c r="D189" i="1"/>
  <c r="D168" i="1"/>
  <c r="D158" i="1"/>
  <c r="D153" i="1"/>
  <c r="D132" i="1"/>
  <c r="D102" i="1"/>
  <c r="D90" i="1"/>
  <c r="D88" i="1"/>
  <c r="D82" i="1"/>
  <c r="D81" i="1"/>
  <c r="D80" i="1"/>
  <c r="D71" i="1"/>
  <c r="D68" i="1"/>
  <c r="D50" i="1"/>
  <c r="D49" i="1"/>
  <c r="D48" i="1"/>
  <c r="D32" i="1"/>
  <c r="D31" i="1"/>
  <c r="D30" i="1"/>
  <c r="D144" i="1" l="1"/>
  <c r="D140" i="1"/>
  <c r="D139" i="1"/>
  <c r="D241" i="1" l="1"/>
  <c r="D240" i="1"/>
  <c r="D304" i="1" l="1"/>
  <c r="D302" i="1" s="1"/>
  <c r="D173" i="1"/>
  <c r="D330" i="1"/>
  <c r="D259" i="1" l="1"/>
  <c r="D215" i="1"/>
  <c r="D214" i="1"/>
  <c r="D210" i="1"/>
  <c r="D207" i="1"/>
  <c r="D150" i="1"/>
  <c r="D110" i="1"/>
  <c r="D99" i="1"/>
  <c r="D98" i="1"/>
  <c r="D87" i="1"/>
  <c r="D60" i="1"/>
  <c r="D59" i="1"/>
  <c r="D51" i="1"/>
  <c r="D306" i="1" l="1"/>
  <c r="D283" i="1" l="1"/>
  <c r="D278" i="1"/>
  <c r="D202" i="1"/>
  <c r="D199" i="1" s="1"/>
  <c r="D108" i="1"/>
  <c r="D73" i="1"/>
  <c r="D188" i="1" l="1"/>
  <c r="D324" i="1" l="1"/>
  <c r="D242" i="1" l="1"/>
  <c r="D206" i="1" l="1"/>
  <c r="D316" i="1" l="1"/>
  <c r="D315" i="1"/>
  <c r="D74" i="1" l="1"/>
  <c r="D58" i="1"/>
  <c r="D290" i="1" l="1"/>
  <c r="D287" i="1"/>
  <c r="D57" i="1" l="1"/>
  <c r="D40" i="1"/>
  <c r="D39" i="1"/>
  <c r="D33" i="1"/>
  <c r="D320" i="1" l="1"/>
  <c r="D250" i="1" l="1"/>
  <c r="D249" i="1" s="1"/>
  <c r="D70" i="1" l="1"/>
  <c r="D318" i="1" l="1"/>
  <c r="D319" i="1" l="1"/>
  <c r="D274" i="1" l="1"/>
  <c r="D41" i="1" l="1"/>
  <c r="D169" i="1"/>
  <c r="D322" i="1" l="1"/>
  <c r="D321" i="1"/>
  <c r="D317" i="1"/>
  <c r="D314" i="1" l="1"/>
  <c r="D266" i="1"/>
  <c r="D183" i="1"/>
  <c r="D165" i="1"/>
  <c r="D161" i="1"/>
  <c r="D160" i="1"/>
  <c r="D309" i="1" l="1"/>
  <c r="D308" i="1" s="1"/>
  <c r="D163" i="1"/>
  <c r="D129" i="1"/>
  <c r="D101" i="1" l="1"/>
  <c r="D100" i="1"/>
  <c r="D89" i="1"/>
  <c r="D86" i="1" s="1"/>
  <c r="D55" i="1" l="1"/>
  <c r="D230" i="1" l="1"/>
  <c r="D152" i="1" l="1"/>
  <c r="D298" i="1" l="1"/>
  <c r="D296" i="1"/>
  <c r="D289" i="1"/>
  <c r="D286" i="1"/>
  <c r="D277" i="1"/>
  <c r="D269" i="1"/>
  <c r="D264" i="1"/>
  <c r="D258" i="1"/>
  <c r="D254" i="1"/>
  <c r="D246" i="1"/>
  <c r="D239" i="1"/>
  <c r="D238" i="1" s="1"/>
  <c r="D234" i="1"/>
  <c r="D229" i="1"/>
  <c r="D226" i="1"/>
  <c r="D220" i="1"/>
  <c r="D205" i="1"/>
  <c r="D204" i="1" s="1"/>
  <c r="D106" i="1"/>
  <c r="D83" i="1"/>
  <c r="D77" i="1"/>
  <c r="D194" i="1"/>
  <c r="D191" i="1"/>
  <c r="D182" i="1"/>
  <c r="D180" i="1"/>
  <c r="D177" i="1"/>
  <c r="D172" i="1"/>
  <c r="D167" i="1"/>
  <c r="D151" i="1"/>
  <c r="D149" i="1"/>
  <c r="D143" i="1" s="1"/>
  <c r="D138" i="1"/>
  <c r="D127" i="1" s="1"/>
  <c r="D125" i="1"/>
  <c r="D119" i="1"/>
  <c r="D113" i="1"/>
  <c r="D69" i="1"/>
  <c r="D97" i="1"/>
  <c r="D93" i="1"/>
  <c r="D85" i="1"/>
  <c r="D276" i="1" l="1"/>
  <c r="D187" i="1"/>
  <c r="D118" i="1"/>
  <c r="D198" i="1"/>
  <c r="D219" i="1"/>
  <c r="D176" i="1"/>
  <c r="D288" i="1"/>
  <c r="D305" i="1"/>
  <c r="D92" i="1"/>
  <c r="D96" i="1"/>
  <c r="D112" i="1"/>
  <c r="D208" i="1"/>
  <c r="D225" i="1"/>
  <c r="D233" i="1"/>
  <c r="D285" i="1"/>
  <c r="D301" i="1"/>
  <c r="D273" i="1"/>
  <c r="D179" i="1"/>
  <c r="D253" i="1"/>
  <c r="D124" i="1"/>
  <c r="D76" i="1"/>
  <c r="D156" i="1"/>
  <c r="D260" i="1"/>
  <c r="D295" i="1"/>
  <c r="D245" i="1"/>
  <c r="D166" i="1"/>
  <c r="D122" i="1"/>
  <c r="D47" i="1"/>
  <c r="D46" i="1" s="1"/>
  <c r="D38" i="1"/>
  <c r="D29" i="1"/>
  <c r="D237" i="1" l="1"/>
  <c r="D300" i="1"/>
  <c r="D244" i="1"/>
  <c r="D284" i="1"/>
  <c r="D218" i="1"/>
  <c r="D197" i="1"/>
  <c r="D294" i="1"/>
  <c r="D257" i="1"/>
  <c r="D256" i="1" s="1"/>
  <c r="D121" i="1"/>
  <c r="D105" i="1" s="1"/>
  <c r="D155" i="1"/>
  <c r="D28" i="1"/>
  <c r="D27" i="1" l="1"/>
  <c r="D337" i="1" s="1"/>
</calcChain>
</file>

<file path=xl/sharedStrings.xml><?xml version="1.0" encoding="utf-8"?>
<sst xmlns="http://schemas.openxmlformats.org/spreadsheetml/2006/main" count="646" uniqueCount="600">
  <si>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</si>
  <si>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</si>
  <si>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</si>
  <si>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</si>
  <si>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</si>
  <si>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</si>
  <si>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</si>
  <si>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</si>
  <si>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</si>
  <si>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</si>
  <si>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</si>
  <si>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</si>
  <si>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</si>
  <si>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</si>
  <si>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</si>
  <si>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</si>
  <si>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</si>
  <si>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</si>
  <si>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</si>
  <si>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</si>
  <si>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</si>
  <si>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</si>
  <si>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</si>
  <si>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</si>
  <si>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</si>
  <si>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</si>
  <si>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</si>
  <si>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</si>
  <si>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</si>
  <si>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</si>
  <si>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</si>
  <si>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</si>
  <si>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</si>
  <si>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</si>
  <si>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</si>
  <si>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</si>
  <si>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</si>
  <si>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</si>
  <si>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</si>
  <si>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</si>
  <si>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</si>
  <si>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</si>
  <si>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</si>
  <si>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</si>
  <si>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</si>
  <si>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</si>
  <si>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</si>
  <si>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</si>
  <si>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</si>
  <si>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</si>
  <si>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</si>
  <si>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</si>
  <si>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</si>
  <si>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</si>
  <si>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</si>
  <si>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</si>
  <si>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</si>
  <si>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</si>
  <si>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</si>
  <si>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</si>
  <si>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</si>
  <si>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</si>
  <si>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</si>
  <si>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</si>
  <si>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</si>
  <si>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</si>
  <si>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</si>
  <si>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</si>
  <si>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</si>
  <si>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</si>
  <si>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</si>
  <si>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</si>
  <si>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</si>
  <si>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</si>
  <si>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</si>
  <si>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</si>
  <si>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</si>
  <si>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</si>
  <si>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</si>
  <si>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</si>
  <si>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</si>
  <si>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</si>
  <si>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</si>
  <si>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</si>
  <si>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</si>
  <si>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</si>
  <si>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</si>
  <si>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</si>
  <si>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</si>
  <si>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</si>
  <si>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</si>
  <si>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</si>
  <si>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</si>
  <si>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</si>
  <si>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</si>
  <si>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</si>
  <si>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</si>
  <si>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</si>
  <si>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</si>
  <si>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</si>
  <si>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</si>
  <si>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</si>
  <si>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</si>
  <si>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</si>
  <si>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</si>
  <si>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</si>
  <si>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</si>
  <si>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</si>
  <si>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</si>
  <si>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</si>
  <si>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</si>
  <si>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</si>
  <si>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</si>
  <si>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</si>
  <si>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</si>
  <si>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</si>
  <si>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</si>
  <si>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</si>
  <si>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</si>
  <si>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</si>
  <si>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</si>
  <si>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</si>
  <si>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</si>
  <si>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</si>
  <si>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</si>
  <si>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</si>
  <si>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</si>
  <si>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</si>
  <si>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</si>
  <si>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</si>
  <si>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</si>
  <si>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</si>
  <si>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</si>
  <si>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</si>
  <si>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</si>
  <si>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</si>
  <si>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</si>
  <si>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</si>
  <si>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</si>
  <si>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</si>
  <si>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</si>
  <si>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</si>
  <si>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</si>
  <si>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</si>
  <si>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</si>
  <si>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</si>
  <si>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</si>
  <si>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</si>
  <si>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</si>
  <si>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</si>
  <si>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</si>
  <si>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</si>
  <si>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</si>
  <si>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</si>
  <si>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</si>
  <si>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</si>
  <si>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</si>
  <si>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</si>
  <si>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</si>
  <si>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</si>
  <si>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</si>
  <si>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</si>
  <si>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</si>
  <si>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</si>
  <si>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</si>
  <si>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</si>
  <si>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</si>
  <si>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</si>
  <si>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</si>
  <si>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</si>
  <si>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</si>
  <si>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</si>
  <si>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</si>
  <si>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</si>
  <si>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</si>
  <si>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</si>
  <si>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</si>
  <si>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</si>
  <si>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</si>
  <si>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</si>
  <si>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</si>
  <si>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</si>
  <si>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</si>
  <si>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</si>
  <si>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</si>
  <si>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</si>
  <si>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</si>
  <si>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</si>
  <si>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</si>
  <si>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</si>
  <si>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</si>
  <si>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</si>
  <si>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</si>
  <si>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</si>
  <si>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</si>
  <si>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</si>
  <si>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</si>
  <si>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</si>
  <si>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</si>
  <si>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</si>
  <si>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</si>
  <si>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</si>
  <si>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</si>
  <si>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</si>
  <si>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</si>
  <si>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</si>
  <si>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</si>
  <si>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</si>
  <si>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</si>
  <si>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</si>
  <si>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</si>
  <si>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</si>
  <si>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</si>
  <si>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</si>
  <si>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</si>
  <si>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</si>
  <si>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</si>
  <si>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</si>
  <si>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</si>
  <si>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</si>
  <si>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</si>
  <si>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</si>
  <si>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</si>
  <si>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</si>
  <si>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</si>
  <si>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</si>
  <si>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</si>
  <si>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</si>
  <si>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</si>
  <si>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</si>
  <si>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</si>
  <si>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</si>
  <si>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</si>
  <si>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</si>
  <si>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</si>
  <si>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</si>
  <si>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</si>
  <si>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</si>
  <si>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</si>
  <si>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</si>
  <si>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</si>
  <si>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</si>
  <si>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</si>
  <si>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</si>
  <si>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</si>
  <si>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</si>
  <si>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</si>
  <si>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</si>
  <si>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</si>
  <si>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</si>
  <si>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</si>
  <si>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</si>
  <si>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</si>
  <si>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</si>
  <si>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</si>
  <si>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</si>
  <si>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</si>
  <si>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</si>
  <si>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</si>
  <si>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</si>
  <si>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</si>
  <si>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</si>
  <si>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</si>
  <si>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</si>
  <si>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</si>
  <si>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</si>
  <si>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</si>
  <si>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</si>
  <si>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</si>
  <si>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</si>
  <si>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</si>
  <si>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</si>
  <si>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</si>
  <si>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</si>
  <si>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</si>
  <si>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</si>
  <si>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</si>
  <si>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</si>
  <si>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</si>
  <si>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</si>
  <si>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</si>
  <si>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</si>
  <si>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</si>
  <si>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</si>
  <si>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</si>
  <si>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</si>
  <si>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</si>
  <si>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</si>
  <si>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</si>
  <si>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</si>
  <si>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</si>
  <si>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</si>
  <si>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</si>
  <si>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</si>
  <si>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</si>
  <si>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</si>
  <si>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</si>
  <si>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</si>
  <si>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</si>
  <si>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</si>
  <si>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</si>
  <si>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</si>
  <si>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</si>
  <si>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</si>
  <si>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</si>
  <si>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</si>
  <si>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</si>
  <si>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</si>
  <si>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</si>
  <si>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</si>
  <si>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</si>
  <si>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</si>
  <si>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</si>
  <si>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</si>
  <si>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</si>
  <si>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</si>
  <si>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</si>
  <si>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</si>
  <si>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</si>
  <si>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</si>
  <si>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</si>
  <si>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</si>
  <si>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</si>
  <si>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</si>
  <si>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</si>
  <si>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</si>
  <si>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</si>
  <si>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</si>
  <si>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</si>
  <si>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</si>
  <si>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</si>
  <si>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</si>
  <si>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</si>
  <si>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</si>
  <si>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</si>
  <si>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</si>
  <si>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</si>
  <si>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</si>
  <si>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</si>
  <si>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</si>
  <si>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</si>
  <si>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</si>
  <si>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</si>
  <si>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</si>
  <si>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</si>
  <si>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</si>
  <si>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</si>
  <si>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</si>
  <si>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</si>
  <si>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</si>
  <si>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</si>
  <si>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</si>
  <si>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</si>
  <si>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</si>
  <si>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</si>
  <si>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</si>
  <si>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</si>
  <si>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</si>
  <si>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</si>
  <si>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</si>
  <si>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</si>
  <si>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</si>
  <si>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</si>
  <si>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</si>
  <si>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</si>
  <si>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</si>
  <si>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</si>
  <si>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</si>
  <si>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</si>
  <si>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</si>
  <si>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</si>
  <si>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</si>
  <si>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</si>
  <si>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</si>
  <si>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</si>
  <si>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</si>
  <si>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</si>
  <si>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</si>
  <si>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</si>
  <si>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</si>
  <si>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</si>
  <si>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</si>
  <si>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</si>
  <si>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</si>
  <si>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</si>
  <si>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</si>
  <si>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</si>
  <si>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</si>
  <si>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</si>
  <si>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</si>
  <si>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</si>
  <si>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</si>
  <si>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</si>
  <si>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</si>
  <si>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</si>
  <si>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</si>
  <si>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</si>
  <si>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</si>
  <si>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</si>
  <si>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</si>
  <si>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</si>
  <si>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</si>
  <si>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</si>
  <si>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</si>
  <si>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</si>
  <si>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</si>
  <si>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</si>
  <si>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</si>
  <si>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</si>
  <si>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</si>
  <si>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</si>
  <si>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</si>
  <si>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</si>
  <si>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</si>
  <si>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</si>
  <si>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</si>
  <si>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</si>
  <si>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</si>
  <si>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</si>
  <si>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</si>
  <si>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</si>
  <si>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</si>
  <si>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</si>
  <si>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</si>
  <si>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</si>
  <si>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</si>
  <si>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</si>
  <si>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</si>
  <si>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</si>
  <si>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</si>
  <si>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</si>
  <si>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</si>
  <si>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</si>
  <si>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</si>
  <si>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</si>
  <si>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</si>
  <si>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</si>
  <si>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</si>
  <si>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</si>
  <si>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</si>
  <si>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</si>
  <si>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</si>
  <si>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</si>
  <si>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</si>
  <si>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</si>
  <si>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</si>
  <si>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</si>
  <si>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</si>
  <si>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</si>
  <si>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</si>
  <si>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</si>
  <si>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</si>
  <si>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</si>
  <si>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</si>
  <si>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</si>
  <si>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</si>
  <si>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</si>
  <si>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</si>
  <si>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</si>
  <si>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</si>
  <si>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</si>
  <si>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</si>
  <si>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</si>
  <si>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</si>
  <si>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</si>
  <si>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</si>
  <si>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</si>
  <si>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</si>
  <si>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</si>
  <si>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</si>
  <si>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</si>
  <si>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</si>
  <si>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</si>
  <si>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</si>
  <si>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</si>
  <si>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</si>
  <si>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</si>
  <si>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</si>
  <si>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</si>
  <si>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</si>
  <si>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</si>
  <si>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</si>
  <si>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</si>
  <si>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</si>
  <si>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</si>
  <si>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</si>
  <si>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</si>
  <si>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</si>
  <si>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</si>
  <si>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</si>
  <si>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</si>
  <si>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</si>
  <si>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</si>
  <si>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</si>
  <si>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</si>
  <si>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</si>
  <si>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</si>
  <si>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</si>
  <si>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</si>
  <si>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</si>
  <si>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</si>
  <si>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</si>
  <si>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</si>
  <si>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</si>
  <si>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</si>
  <si>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</si>
  <si>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</si>
  <si>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</si>
  <si>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</si>
  <si>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</si>
  <si>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</si>
  <si>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</si>
  <si>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</si>
  <si>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</si>
  <si>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</si>
  <si>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</si>
  <si>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</si>
  <si>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</si>
  <si>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</si>
  <si>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</si>
  <si>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</si>
  <si>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</si>
  <si>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</si>
  <si>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</si>
  <si>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</si>
  <si>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</si>
  <si>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</si>
  <si>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</si>
  <si>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</si>
  <si>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</si>
  <si>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</si>
  <si>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</si>
  <si>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</si>
  <si>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</si>
  <si>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</si>
  <si>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</si>
  <si>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</si>
  <si>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</si>
  <si>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</si>
  <si>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</si>
  <si>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</si>
  <si>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</si>
  <si>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</si>
  <si>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</si>
  <si>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</si>
  <si>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</si>
  <si>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</si>
  <si>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</si>
  <si>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</si>
  <si>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</si>
  <si>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</si>
  <si>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</si>
  <si>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</si>
  <si>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</si>
  <si>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</si>
  <si>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</si>
  <si>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</si>
  <si>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</si>
  <si>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</si>
  <si>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</si>
  <si>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</si>
  <si>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</si>
  <si>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</si>
  <si>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</si>
  <si>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</si>
  <si>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</si>
  <si>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</si>
  <si>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</si>
  <si>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</si>
  <si>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</si>
  <si>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</si>
  <si>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</si>
  <si>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</si>
  <si>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</si>
  <si>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</si>
  <si>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</si>
  <si>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</si>
  <si>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</si>
  <si>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</si>
  <si>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2</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</si>
  <si>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</si>
  <si>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</si>
  <si>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</si>
  <si>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</si>
  <si>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</si>
  <si>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</si>
  <si>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</si>
  <si>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</si>
  <si>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</si>
  <si>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</si>
  <si>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</si>
  <si>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</si>
  <si>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</si>
  <si>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</si>
  <si>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</si>
  <si>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01 2 03 22140</t>
  </si>
  <si>
    <t>01 2 03 22150</t>
  </si>
  <si>
    <t>02 Д 03 22160</t>
  </si>
  <si>
    <t>Содержание и обслуживание казны (Иные бюджетные ассигнования)</t>
  </si>
  <si>
    <t>от 03.05.2018 № 42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</si>
</sst>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9"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5"/>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71" t="s">
        <v>579</v>
      </c>
      <c r="C1" s="71"/>
      <c r="D1" s="71"/>
    </row>
    <row r="2" spans="2:4" x14ac:dyDescent="0.3">
      <c r="B2" s="71" t="s">
        <v>158</v>
      </c>
      <c r="C2" s="71"/>
      <c r="D2" s="71"/>
    </row>
    <row r="3" spans="2:4" x14ac:dyDescent="0.3">
      <c r="B3" s="71" t="s">
        <v>159</v>
      </c>
      <c r="C3" s="71"/>
      <c r="D3" s="71"/>
    </row>
    <row r="4" spans="2:4" x14ac:dyDescent="0.3">
      <c r="B4" s="71" t="s">
        <v>547</v>
      </c>
      <c r="C4" s="71"/>
      <c r="D4" s="71"/>
    </row>
    <row r="5" spans="2:4" x14ac:dyDescent="0.3">
      <c r="B5" s="71" t="s">
        <v>548</v>
      </c>
      <c r="C5" s="71"/>
      <c r="D5" s="71"/>
    </row>
    <row r="6" spans="2:4" x14ac:dyDescent="0.3">
      <c r="B6" s="71" t="s">
        <v>159</v>
      </c>
      <c r="C6" s="71"/>
      <c r="D6" s="71"/>
    </row>
    <row r="7" spans="2:4" x14ac:dyDescent="0.3">
      <c r="B7" s="71" t="s">
        <v>549</v>
      </c>
      <c r="C7" s="71"/>
      <c r="D7" s="71"/>
    </row>
    <row r="8" spans="2:4" x14ac:dyDescent="0.3">
      <c r="B8" s="71" t="s">
        <v>550</v>
      </c>
      <c r="C8" s="71"/>
      <c r="D8" s="71"/>
    </row>
    <row r="9" spans="2:4" x14ac:dyDescent="0.3">
      <c r="B9" s="71" t="s">
        <v>551</v>
      </c>
      <c r="C9" s="71"/>
      <c r="D9" s="71"/>
    </row>
    <row r="10" spans="2:4" x14ac:dyDescent="0.3">
      <c r="B10" s="71" t="s">
        <v>552</v>
      </c>
      <c r="C10" s="71"/>
      <c r="D10" s="71"/>
    </row>
    <row r="11" spans="2:4" x14ac:dyDescent="0.3">
      <c r="B11" s="74" t="s">
        <v>599</v>
      </c>
      <c r="C11" s="74"/>
      <c r="D11" s="74"/>
    </row>
    <row r="13" spans="2:4" x14ac:dyDescent="0.3">
      <c r="B13" s="73" t="s">
        <v>546</v>
      </c>
      <c r="C13" s="73"/>
      <c r="D13" s="73"/>
    </row>
    <row r="14" spans="2:4" x14ac:dyDescent="0.3">
      <c r="B14" s="73" t="s">
        <v>158</v>
      </c>
      <c r="C14" s="73"/>
      <c r="D14" s="73"/>
    </row>
    <row r="15" spans="2:4" x14ac:dyDescent="0.3">
      <c r="B15" s="73" t="s">
        <v>159</v>
      </c>
      <c r="C15" s="73"/>
      <c r="D15" s="73"/>
    </row>
    <row r="16" spans="2:4" x14ac:dyDescent="0.3">
      <c r="B16" s="71" t="s">
        <v>160</v>
      </c>
      <c r="C16" s="71"/>
      <c r="D16" s="71"/>
    </row>
    <row r="17" spans="1:4" x14ac:dyDescent="0.3">
      <c r="B17" s="71" t="s">
        <v>161</v>
      </c>
      <c r="C17" s="71"/>
      <c r="D17" s="71"/>
    </row>
    <row r="18" spans="1:4" x14ac:dyDescent="0.3">
      <c r="B18" s="71" t="s">
        <v>450</v>
      </c>
      <c r="C18" s="71"/>
      <c r="D18" s="71"/>
    </row>
    <row r="19" spans="1:4" x14ac:dyDescent="0.3">
      <c r="B19" s="71" t="s">
        <v>451</v>
      </c>
      <c r="C19" s="71"/>
      <c r="D19" s="71"/>
    </row>
    <row r="20" spans="1:4" ht="18.75" customHeight="1" x14ac:dyDescent="0.3">
      <c r="B20" s="72" t="s">
        <v>545</v>
      </c>
      <c r="C20" s="72"/>
      <c r="D20" s="72"/>
    </row>
    <row r="21" spans="1:4" x14ac:dyDescent="0.3">
      <c r="B21" s="12"/>
      <c r="C21" s="59"/>
    </row>
    <row r="22" spans="1:4" ht="125.25" customHeight="1" x14ac:dyDescent="0.3">
      <c r="A22" s="68" t="s">
        <v>534</v>
      </c>
      <c r="B22" s="68"/>
      <c r="C22" s="68"/>
      <c r="D22" s="68"/>
    </row>
    <row r="23" spans="1:4" ht="22.5" customHeight="1" x14ac:dyDescent="0.3">
      <c r="A23" s="69"/>
      <c r="B23" s="69"/>
      <c r="C23" s="69"/>
      <c r="D23" s="69"/>
    </row>
    <row r="24" spans="1:4" ht="18.75" customHeight="1" x14ac:dyDescent="0.3">
      <c r="A24" s="66" t="s">
        <v>155</v>
      </c>
      <c r="B24" s="66" t="s">
        <v>156</v>
      </c>
      <c r="C24" s="67" t="s">
        <v>157</v>
      </c>
      <c r="D24" s="70" t="s">
        <v>526</v>
      </c>
    </row>
    <row r="25" spans="1:4" ht="42" customHeight="1" x14ac:dyDescent="0.3">
      <c r="A25" s="66"/>
      <c r="B25" s="66"/>
      <c r="C25" s="67"/>
      <c r="D25" s="70"/>
    </row>
    <row r="26" spans="1:4" x14ac:dyDescent="0.3">
      <c r="A26" s="6">
        <v>1</v>
      </c>
      <c r="B26" s="6">
        <v>2</v>
      </c>
      <c r="C26" s="6">
        <v>3</v>
      </c>
      <c r="D26" s="6">
        <v>4</v>
      </c>
    </row>
    <row r="27" spans="1:4" s="8" customFormat="1" ht="69" customHeight="1" x14ac:dyDescent="0.3">
      <c r="A27" s="14" t="s">
        <v>211</v>
      </c>
      <c r="B27" s="15" t="s">
        <v>0</v>
      </c>
      <c r="C27" s="7"/>
      <c r="D27" s="58">
        <f>D28+D46+D69+D76+D85+D92+D96+D101</f>
        <v>198183941.97</v>
      </c>
    </row>
    <row r="28" spans="1:4" s="8" customFormat="1" ht="112.5" x14ac:dyDescent="0.3">
      <c r="A28" s="14" t="s">
        <v>212</v>
      </c>
      <c r="B28" s="15" t="s">
        <v>1</v>
      </c>
      <c r="C28" s="7"/>
      <c r="D28" s="58">
        <f>D29+D38+D41</f>
        <v>71274109</v>
      </c>
    </row>
    <row r="29" spans="1:4" s="3" customFormat="1" ht="54" customHeight="1" x14ac:dyDescent="0.3">
      <c r="A29" s="16" t="s">
        <v>213</v>
      </c>
      <c r="B29" s="17" t="s">
        <v>2</v>
      </c>
      <c r="C29" s="5"/>
      <c r="D29" s="50">
        <f>SUM(D30:D37)</f>
        <v>68658937.030000001</v>
      </c>
    </row>
    <row r="30" spans="1:4" ht="168.75" x14ac:dyDescent="0.3">
      <c r="A30" s="18" t="s">
        <v>214</v>
      </c>
      <c r="B30" s="19" t="s">
        <v>3</v>
      </c>
      <c r="C30" s="4">
        <v>100</v>
      </c>
      <c r="D30" s="41">
        <f>2843679.16+858923.37-11022.53+4400</f>
        <v>3695980.0000000005</v>
      </c>
    </row>
    <row r="31" spans="1:4" ht="127.5" customHeight="1" x14ac:dyDescent="0.3">
      <c r="A31" s="20" t="s">
        <v>215</v>
      </c>
      <c r="B31" s="19" t="s">
        <v>3</v>
      </c>
      <c r="C31" s="4">
        <v>200</v>
      </c>
      <c r="D31" s="41">
        <f>4249100+11022.53+65000-4400</f>
        <v>4320722.53</v>
      </c>
    </row>
    <row r="32" spans="1:4" ht="131.25" x14ac:dyDescent="0.3">
      <c r="A32" s="18" t="s">
        <v>216</v>
      </c>
      <c r="B32" s="19" t="s">
        <v>3</v>
      </c>
      <c r="C32" s="4">
        <v>600</v>
      </c>
      <c r="D32" s="41">
        <f>24267052.5+229986</f>
        <v>24497038.5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456</v>
      </c>
      <c r="B35" s="19" t="s">
        <v>5</v>
      </c>
      <c r="C35" s="4">
        <v>100</v>
      </c>
      <c r="D35" s="41">
        <v>4052928</v>
      </c>
    </row>
    <row r="36" spans="1:5" ht="262.5" x14ac:dyDescent="0.3">
      <c r="A36" s="32" t="s">
        <v>457</v>
      </c>
      <c r="B36" s="19" t="s">
        <v>5</v>
      </c>
      <c r="C36" s="4">
        <v>200</v>
      </c>
      <c r="D36" s="41">
        <v>17490</v>
      </c>
      <c r="E36" s="60"/>
    </row>
    <row r="37" spans="1:5" ht="265.5" customHeight="1" x14ac:dyDescent="0.3">
      <c r="A37" s="32" t="s">
        <v>458</v>
      </c>
      <c r="B37" s="19" t="s">
        <v>5</v>
      </c>
      <c r="C37" s="4">
        <v>600</v>
      </c>
      <c r="D37" s="41">
        <v>32016778</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515</v>
      </c>
      <c r="B42" s="19" t="s">
        <v>514</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106976895.27000001</v>
      </c>
    </row>
    <row r="47" spans="1:5" s="3" customFormat="1" ht="48" customHeight="1" x14ac:dyDescent="0.3">
      <c r="A47" s="16" t="s">
        <v>220</v>
      </c>
      <c r="B47" s="17" t="s">
        <v>12</v>
      </c>
      <c r="C47" s="5"/>
      <c r="D47" s="50">
        <f>SUM(D48:D54)</f>
        <v>100245160.2</v>
      </c>
    </row>
    <row r="48" spans="1:5" ht="187.5" x14ac:dyDescent="0.3">
      <c r="A48" s="18" t="s">
        <v>221</v>
      </c>
      <c r="B48" s="19" t="s">
        <v>13</v>
      </c>
      <c r="C48" s="4">
        <v>100</v>
      </c>
      <c r="D48" s="41">
        <f>3657708.13+1104418.41-544231.54+1810</f>
        <v>4219705</v>
      </c>
    </row>
    <row r="49" spans="1:5" ht="145.5" customHeight="1" x14ac:dyDescent="0.3">
      <c r="A49" s="18" t="s">
        <v>222</v>
      </c>
      <c r="B49" s="19" t="s">
        <v>13</v>
      </c>
      <c r="C49" s="4">
        <v>200</v>
      </c>
      <c r="D49" s="41">
        <f>10068738+786331.54+142105-2603.3+40530-1810+50000+28000+1652466+666.45</f>
        <v>12764423.689999998</v>
      </c>
    </row>
    <row r="50" spans="1:5" ht="150" x14ac:dyDescent="0.3">
      <c r="A50" s="18" t="s">
        <v>174</v>
      </c>
      <c r="B50" s="19" t="s">
        <v>13</v>
      </c>
      <c r="C50" s="4">
        <v>600</v>
      </c>
      <c r="D50" s="41">
        <f>8000605.48+1194000+10000+51413.73</f>
        <v>9256019.2100000009</v>
      </c>
    </row>
    <row r="51" spans="1:5" ht="123" customHeight="1" x14ac:dyDescent="0.3">
      <c r="A51" s="18" t="s">
        <v>223</v>
      </c>
      <c r="B51" s="19" t="s">
        <v>13</v>
      </c>
      <c r="C51" s="4">
        <v>800</v>
      </c>
      <c r="D51" s="41">
        <f>486500+101000-242100+2603.3</f>
        <v>348003.3</v>
      </c>
    </row>
    <row r="52" spans="1:5" ht="322.5" customHeight="1" x14ac:dyDescent="0.3">
      <c r="A52" s="32" t="s">
        <v>459</v>
      </c>
      <c r="B52" s="19" t="s">
        <v>14</v>
      </c>
      <c r="C52" s="4">
        <v>100</v>
      </c>
      <c r="D52" s="41">
        <v>35654747</v>
      </c>
    </row>
    <row r="53" spans="1:5" ht="261" customHeight="1" x14ac:dyDescent="0.3">
      <c r="A53" s="32" t="s">
        <v>461</v>
      </c>
      <c r="B53" s="19" t="s">
        <v>14</v>
      </c>
      <c r="C53" s="4">
        <v>200</v>
      </c>
      <c r="D53" s="41">
        <v>707970</v>
      </c>
      <c r="E53" s="60"/>
    </row>
    <row r="54" spans="1:5" ht="260.25" customHeight="1" x14ac:dyDescent="0.3">
      <c r="A54" s="32" t="s">
        <v>460</v>
      </c>
      <c r="B54" s="19" t="s">
        <v>14</v>
      </c>
      <c r="C54" s="4">
        <v>600</v>
      </c>
      <c r="D54" s="41">
        <v>37294292</v>
      </c>
    </row>
    <row r="55" spans="1:5" s="3" customFormat="1" ht="53.25" customHeight="1" x14ac:dyDescent="0.3">
      <c r="A55" s="16" t="s">
        <v>452</v>
      </c>
      <c r="B55" s="17" t="s">
        <v>15</v>
      </c>
      <c r="C55" s="5"/>
      <c r="D55" s="50">
        <f>SUM(D56:D60)</f>
        <v>3862779.92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453</v>
      </c>
      <c r="B59" s="19" t="s">
        <v>449</v>
      </c>
      <c r="C59" s="4">
        <v>200</v>
      </c>
      <c r="D59" s="41">
        <f>291137+38663</f>
        <v>329800</v>
      </c>
    </row>
    <row r="60" spans="1:5" ht="109.5" customHeight="1" x14ac:dyDescent="0.3">
      <c r="A60" s="21" t="s">
        <v>454</v>
      </c>
      <c r="B60" s="19" t="s">
        <v>449</v>
      </c>
      <c r="C60" s="4">
        <v>600</v>
      </c>
      <c r="D60" s="41">
        <f>441850.17+48337</f>
        <v>490187.17</v>
      </c>
    </row>
    <row r="61" spans="1:5" ht="70.5" customHeight="1" x14ac:dyDescent="0.3">
      <c r="A61" s="61" t="s">
        <v>553</v>
      </c>
      <c r="B61" s="49" t="s">
        <v>554</v>
      </c>
      <c r="C61" s="4"/>
      <c r="D61" s="50">
        <f>SUM(D62:D68)</f>
        <v>2868955.1500000004</v>
      </c>
    </row>
    <row r="62" spans="1:5" ht="175.5" customHeight="1" x14ac:dyDescent="0.3">
      <c r="A62" s="21" t="s">
        <v>555</v>
      </c>
      <c r="B62" s="62" t="s">
        <v>556</v>
      </c>
      <c r="C62" s="4">
        <v>200</v>
      </c>
      <c r="D62" s="41">
        <v>40000</v>
      </c>
    </row>
    <row r="63" spans="1:5" ht="143.25" customHeight="1" x14ac:dyDescent="0.3">
      <c r="A63" s="21" t="s">
        <v>568</v>
      </c>
      <c r="B63" s="62" t="s">
        <v>567</v>
      </c>
      <c r="C63" s="4">
        <v>200</v>
      </c>
      <c r="D63" s="41">
        <v>110000</v>
      </c>
    </row>
    <row r="64" spans="1:5" ht="178.5" customHeight="1" x14ac:dyDescent="0.3">
      <c r="A64" s="21" t="s">
        <v>586</v>
      </c>
      <c r="B64" s="55" t="s">
        <v>595</v>
      </c>
      <c r="C64" s="4">
        <v>200</v>
      </c>
      <c r="D64" s="41">
        <v>74550</v>
      </c>
    </row>
    <row r="65" spans="1:4" ht="147.75" customHeight="1" x14ac:dyDescent="0.3">
      <c r="A65" s="21" t="s">
        <v>587</v>
      </c>
      <c r="B65" s="55" t="s">
        <v>596</v>
      </c>
      <c r="C65" s="4">
        <v>200</v>
      </c>
      <c r="D65" s="41">
        <v>60000</v>
      </c>
    </row>
    <row r="66" spans="1:4" ht="106.5" customHeight="1" x14ac:dyDescent="0.3">
      <c r="A66" s="32" t="s">
        <v>543</v>
      </c>
      <c r="B66" s="33" t="s">
        <v>564</v>
      </c>
      <c r="C66" s="11">
        <v>200</v>
      </c>
      <c r="D66" s="41">
        <v>644500</v>
      </c>
    </row>
    <row r="67" spans="1:4" ht="110.25" customHeight="1" x14ac:dyDescent="0.3">
      <c r="A67" s="32" t="s">
        <v>540</v>
      </c>
      <c r="B67" s="33" t="s">
        <v>565</v>
      </c>
      <c r="C67" s="11">
        <v>200</v>
      </c>
      <c r="D67" s="41">
        <v>6550</v>
      </c>
    </row>
    <row r="68" spans="1:4" ht="111" customHeight="1" x14ac:dyDescent="0.3">
      <c r="A68" s="32" t="s">
        <v>508</v>
      </c>
      <c r="B68" s="33" t="s">
        <v>566</v>
      </c>
      <c r="C68" s="11">
        <v>200</v>
      </c>
      <c r="D68" s="41">
        <f>1934021.6-666.45</f>
        <v>1933355.1500000001</v>
      </c>
    </row>
    <row r="69" spans="1:4" ht="46.5" customHeight="1" x14ac:dyDescent="0.3">
      <c r="A69" s="14" t="s">
        <v>19</v>
      </c>
      <c r="B69" s="15" t="s">
        <v>18</v>
      </c>
      <c r="C69" s="7"/>
      <c r="D69" s="58">
        <f>D70+D74</f>
        <v>11063954.539999999</v>
      </c>
    </row>
    <row r="70" spans="1:4" ht="54" customHeight="1" x14ac:dyDescent="0.3">
      <c r="A70" s="16" t="s">
        <v>21</v>
      </c>
      <c r="B70" s="17" t="s">
        <v>20</v>
      </c>
      <c r="C70" s="5"/>
      <c r="D70" s="50">
        <f>SUM(D71:D73)</f>
        <v>10912354.539999999</v>
      </c>
    </row>
    <row r="71" spans="1:4" ht="89.25" customHeight="1" x14ac:dyDescent="0.3">
      <c r="A71" s="18" t="s">
        <v>177</v>
      </c>
      <c r="B71" s="19" t="s">
        <v>22</v>
      </c>
      <c r="C71" s="4">
        <v>600</v>
      </c>
      <c r="D71" s="41">
        <f>7389054.99+135220+63000</f>
        <v>7587274.9900000002</v>
      </c>
    </row>
    <row r="72" spans="1:4" ht="165.75" customHeight="1" x14ac:dyDescent="0.3">
      <c r="A72" s="32" t="s">
        <v>541</v>
      </c>
      <c r="B72" s="33" t="s">
        <v>538</v>
      </c>
      <c r="C72" s="11">
        <v>600</v>
      </c>
      <c r="D72" s="41">
        <v>221621.88</v>
      </c>
    </row>
    <row r="73" spans="1:4" ht="163.5" customHeight="1" x14ac:dyDescent="0.3">
      <c r="A73" s="32" t="s">
        <v>541</v>
      </c>
      <c r="B73" s="33" t="s">
        <v>537</v>
      </c>
      <c r="C73" s="4">
        <v>600</v>
      </c>
      <c r="D73" s="41">
        <f>2466020.67-135220+772657</f>
        <v>3103457.67</v>
      </c>
    </row>
    <row r="74" spans="1:4" ht="37.5" x14ac:dyDescent="0.3">
      <c r="A74" s="16" t="s">
        <v>523</v>
      </c>
      <c r="B74" s="17" t="s">
        <v>524</v>
      </c>
      <c r="C74" s="5"/>
      <c r="D74" s="50">
        <f>D75</f>
        <v>151600</v>
      </c>
    </row>
    <row r="75" spans="1:4" ht="112.5" x14ac:dyDescent="0.3">
      <c r="A75" s="32" t="s">
        <v>528</v>
      </c>
      <c r="B75" s="19" t="s">
        <v>525</v>
      </c>
      <c r="C75" s="4">
        <v>600</v>
      </c>
      <c r="D75" s="41">
        <v>151600</v>
      </c>
    </row>
    <row r="76" spans="1:4" s="8" customFormat="1" ht="48" customHeight="1" x14ac:dyDescent="0.3">
      <c r="A76" s="14" t="s">
        <v>24</v>
      </c>
      <c r="B76" s="15" t="s">
        <v>23</v>
      </c>
      <c r="C76" s="7"/>
      <c r="D76" s="58">
        <f>D77+D83</f>
        <v>756400</v>
      </c>
    </row>
    <row r="77" spans="1:4" s="3" customFormat="1" ht="51.75" customHeight="1" x14ac:dyDescent="0.3">
      <c r="A77" s="16" t="s">
        <v>208</v>
      </c>
      <c r="B77" s="17" t="s">
        <v>25</v>
      </c>
      <c r="C77" s="5"/>
      <c r="D77" s="50">
        <f>SUM(D78:D82)</f>
        <v>710200</v>
      </c>
    </row>
    <row r="78" spans="1:4" ht="94.5" customHeight="1" x14ac:dyDescent="0.3">
      <c r="A78" s="18" t="s">
        <v>224</v>
      </c>
      <c r="B78" s="19" t="s">
        <v>27</v>
      </c>
      <c r="C78" s="4">
        <v>200</v>
      </c>
      <c r="D78" s="41">
        <v>22100</v>
      </c>
    </row>
    <row r="79" spans="1:4" ht="99.75" customHeight="1" x14ac:dyDescent="0.3">
      <c r="A79" s="18" t="s">
        <v>588</v>
      </c>
      <c r="B79" s="19" t="s">
        <v>26</v>
      </c>
      <c r="C79" s="4">
        <v>200</v>
      </c>
      <c r="D79" s="41">
        <v>29750</v>
      </c>
    </row>
    <row r="80" spans="1:4" ht="103.5" customHeight="1" x14ac:dyDescent="0.3">
      <c r="A80" s="18" t="s">
        <v>455</v>
      </c>
      <c r="B80" s="19" t="s">
        <v>26</v>
      </c>
      <c r="C80" s="4">
        <v>600</v>
      </c>
      <c r="D80" s="41">
        <f>203000-29750</f>
        <v>173250</v>
      </c>
    </row>
    <row r="81" spans="1:4" s="8" customFormat="1" ht="112.5" x14ac:dyDescent="0.3">
      <c r="A81" s="32" t="s">
        <v>225</v>
      </c>
      <c r="B81" s="19" t="s">
        <v>28</v>
      </c>
      <c r="C81" s="4">
        <v>200</v>
      </c>
      <c r="D81" s="41">
        <f>194040-49130</f>
        <v>144910</v>
      </c>
    </row>
    <row r="82" spans="1:4" s="3" customFormat="1" ht="112.5" x14ac:dyDescent="0.3">
      <c r="A82" s="32" t="s">
        <v>226</v>
      </c>
      <c r="B82" s="19" t="s">
        <v>28</v>
      </c>
      <c r="C82" s="4">
        <v>600</v>
      </c>
      <c r="D82" s="41">
        <f>291060+49130</f>
        <v>340190</v>
      </c>
    </row>
    <row r="83" spans="1:4" ht="50.25" customHeight="1" x14ac:dyDescent="0.3">
      <c r="A83" s="16" t="s">
        <v>203</v>
      </c>
      <c r="B83" s="17" t="s">
        <v>29</v>
      </c>
      <c r="C83" s="5"/>
      <c r="D83" s="50">
        <f>D84</f>
        <v>46200</v>
      </c>
    </row>
    <row r="84" spans="1:4" ht="131.25" x14ac:dyDescent="0.3">
      <c r="A84" s="32" t="s">
        <v>204</v>
      </c>
      <c r="B84" s="19" t="s">
        <v>30</v>
      </c>
      <c r="C84" s="4">
        <v>200</v>
      </c>
      <c r="D84" s="41">
        <v>46200</v>
      </c>
    </row>
    <row r="85" spans="1:4" ht="31.5" customHeight="1" x14ac:dyDescent="0.3">
      <c r="A85" s="14" t="s">
        <v>227</v>
      </c>
      <c r="B85" s="15" t="s">
        <v>31</v>
      </c>
      <c r="C85" s="7"/>
      <c r="D85" s="58">
        <f>D86</f>
        <v>345000</v>
      </c>
    </row>
    <row r="86" spans="1:4" ht="45" customHeight="1" x14ac:dyDescent="0.3">
      <c r="A86" s="16" t="s">
        <v>228</v>
      </c>
      <c r="B86" s="17" t="s">
        <v>32</v>
      </c>
      <c r="C86" s="5"/>
      <c r="D86" s="50">
        <f>SUM(D87:D91)</f>
        <v>345000</v>
      </c>
    </row>
    <row r="87" spans="1:4" s="3" customFormat="1" ht="146.25" customHeight="1" x14ac:dyDescent="0.3">
      <c r="A87" s="18" t="s">
        <v>229</v>
      </c>
      <c r="B87" s="19" t="s">
        <v>33</v>
      </c>
      <c r="C87" s="4">
        <v>200</v>
      </c>
      <c r="D87" s="41">
        <f>20000+35000</f>
        <v>55000</v>
      </c>
    </row>
    <row r="88" spans="1:4" ht="146.25" customHeight="1" x14ac:dyDescent="0.3">
      <c r="A88" s="18" t="s">
        <v>230</v>
      </c>
      <c r="B88" s="19" t="s">
        <v>33</v>
      </c>
      <c r="C88" s="4">
        <v>600</v>
      </c>
      <c r="D88" s="41">
        <f>75000+5000-10000</f>
        <v>70000</v>
      </c>
    </row>
    <row r="89" spans="1:4" s="8" customFormat="1" ht="124.5" customHeight="1" x14ac:dyDescent="0.3">
      <c r="A89" s="32" t="s">
        <v>231</v>
      </c>
      <c r="B89" s="33" t="s">
        <v>34</v>
      </c>
      <c r="C89" s="11">
        <v>200</v>
      </c>
      <c r="D89" s="41">
        <f>8000+30000</f>
        <v>38000</v>
      </c>
    </row>
    <row r="90" spans="1:4" s="8" customFormat="1" ht="124.5" customHeight="1" x14ac:dyDescent="0.3">
      <c r="A90" s="32" t="s">
        <v>435</v>
      </c>
      <c r="B90" s="33" t="s">
        <v>34</v>
      </c>
      <c r="C90" s="11">
        <v>600</v>
      </c>
      <c r="D90" s="41">
        <f>22000+100000+50000</f>
        <v>172000</v>
      </c>
    </row>
    <row r="91" spans="1:4" s="8" customFormat="1" ht="87.75" customHeight="1" x14ac:dyDescent="0.3">
      <c r="A91" s="32" t="s">
        <v>590</v>
      </c>
      <c r="B91" s="65" t="s">
        <v>589</v>
      </c>
      <c r="C91" s="11">
        <v>600</v>
      </c>
      <c r="D91" s="41">
        <v>10000</v>
      </c>
    </row>
    <row r="92" spans="1:4" s="3" customFormat="1" ht="49.5" customHeight="1" x14ac:dyDescent="0.3">
      <c r="A92" s="22" t="s">
        <v>36</v>
      </c>
      <c r="B92" s="15" t="s">
        <v>35</v>
      </c>
      <c r="C92" s="7"/>
      <c r="D92" s="58">
        <f>D93</f>
        <v>50000</v>
      </c>
    </row>
    <row r="93" spans="1:4" ht="53.25" customHeight="1" x14ac:dyDescent="0.3">
      <c r="A93" s="16" t="s">
        <v>38</v>
      </c>
      <c r="B93" s="17" t="s">
        <v>37</v>
      </c>
      <c r="C93" s="5"/>
      <c r="D93" s="50">
        <f>SUM(D94:D95)</f>
        <v>50000</v>
      </c>
    </row>
    <row r="94" spans="1:4" ht="144" customHeight="1" x14ac:dyDescent="0.3">
      <c r="A94" s="18" t="s">
        <v>184</v>
      </c>
      <c r="B94" s="19" t="s">
        <v>39</v>
      </c>
      <c r="C94" s="4">
        <v>200</v>
      </c>
      <c r="D94" s="41">
        <v>30000</v>
      </c>
    </row>
    <row r="95" spans="1:4" ht="144" customHeight="1" x14ac:dyDescent="0.3">
      <c r="A95" s="18" t="s">
        <v>179</v>
      </c>
      <c r="B95" s="19" t="s">
        <v>39</v>
      </c>
      <c r="C95" s="4">
        <v>600</v>
      </c>
      <c r="D95" s="41">
        <v>20000</v>
      </c>
    </row>
    <row r="96" spans="1:4" ht="84.75" customHeight="1" x14ac:dyDescent="0.3">
      <c r="A96" s="14" t="s">
        <v>232</v>
      </c>
      <c r="B96" s="15" t="s">
        <v>40</v>
      </c>
      <c r="C96" s="7"/>
      <c r="D96" s="58">
        <f>D97</f>
        <v>7560103.1600000001</v>
      </c>
    </row>
    <row r="97" spans="1:4" s="8" customFormat="1" ht="82.5" customHeight="1" x14ac:dyDescent="0.3">
      <c r="A97" s="16" t="s">
        <v>448</v>
      </c>
      <c r="B97" s="17" t="s">
        <v>41</v>
      </c>
      <c r="C97" s="5"/>
      <c r="D97" s="50">
        <f>SUM(D98:D100)</f>
        <v>7560103.1600000001</v>
      </c>
    </row>
    <row r="98" spans="1:4" s="3" customFormat="1" ht="131.25" x14ac:dyDescent="0.3">
      <c r="A98" s="18" t="s">
        <v>166</v>
      </c>
      <c r="B98" s="19" t="s">
        <v>42</v>
      </c>
      <c r="C98" s="4">
        <v>100</v>
      </c>
      <c r="D98" s="41">
        <f>2621783.53+1500+791432.82+1389174.5+88651.66+936660.65+197000</f>
        <v>6026203.1600000001</v>
      </c>
    </row>
    <row r="99" spans="1:4" ht="83.25" customHeight="1" x14ac:dyDescent="0.3">
      <c r="A99" s="18" t="s">
        <v>233</v>
      </c>
      <c r="B99" s="19" t="s">
        <v>42</v>
      </c>
      <c r="C99" s="4">
        <v>200</v>
      </c>
      <c r="D99" s="41">
        <f>719218+631182+125900</f>
        <v>1476300</v>
      </c>
    </row>
    <row r="100" spans="1:4" ht="56.25" x14ac:dyDescent="0.3">
      <c r="A100" s="18" t="s">
        <v>234</v>
      </c>
      <c r="B100" s="19" t="s">
        <v>42</v>
      </c>
      <c r="C100" s="4">
        <v>800</v>
      </c>
      <c r="D100" s="41">
        <f>11500+46100</f>
        <v>57600</v>
      </c>
    </row>
    <row r="101" spans="1:4" ht="93.75" x14ac:dyDescent="0.3">
      <c r="A101" s="45" t="s">
        <v>462</v>
      </c>
      <c r="B101" s="53" t="s">
        <v>463</v>
      </c>
      <c r="C101" s="7"/>
      <c r="D101" s="58">
        <f>D102</f>
        <v>157480</v>
      </c>
    </row>
    <row r="102" spans="1:4" ht="37.5" x14ac:dyDescent="0.3">
      <c r="A102" s="54" t="s">
        <v>464</v>
      </c>
      <c r="B102" s="49" t="s">
        <v>465</v>
      </c>
      <c r="C102" s="5"/>
      <c r="D102" s="50">
        <f>D103+D104</f>
        <v>157480</v>
      </c>
    </row>
    <row r="103" spans="1:4" ht="112.5" x14ac:dyDescent="0.3">
      <c r="A103" s="32" t="s">
        <v>585</v>
      </c>
      <c r="B103" s="33" t="s">
        <v>591</v>
      </c>
      <c r="C103" s="11">
        <v>600</v>
      </c>
      <c r="D103" s="41">
        <v>78000</v>
      </c>
    </row>
    <row r="104" spans="1:4" ht="112.5" x14ac:dyDescent="0.3">
      <c r="A104" s="32" t="s">
        <v>585</v>
      </c>
      <c r="B104" s="33" t="s">
        <v>584</v>
      </c>
      <c r="C104" s="11">
        <v>600</v>
      </c>
      <c r="D104" s="41">
        <v>79480</v>
      </c>
    </row>
    <row r="105" spans="1:4" s="8" customFormat="1" ht="110.25" customHeight="1" x14ac:dyDescent="0.3">
      <c r="A105" s="45" t="s">
        <v>428</v>
      </c>
      <c r="B105" s="15" t="s">
        <v>43</v>
      </c>
      <c r="C105" s="7"/>
      <c r="D105" s="58">
        <f>D106+D112+D118+D121+D124+D127+D143+D151</f>
        <v>14940350.829999998</v>
      </c>
    </row>
    <row r="106" spans="1:4" s="3" customFormat="1" ht="53.25" customHeight="1" x14ac:dyDescent="0.3">
      <c r="A106" s="14" t="s">
        <v>235</v>
      </c>
      <c r="B106" s="15" t="s">
        <v>44</v>
      </c>
      <c r="C106" s="7"/>
      <c r="D106" s="58">
        <f>D107</f>
        <v>4595035.99</v>
      </c>
    </row>
    <row r="107" spans="1:4" s="8" customFormat="1" ht="105.75" customHeight="1" x14ac:dyDescent="0.3">
      <c r="A107" s="23" t="s">
        <v>280</v>
      </c>
      <c r="B107" s="24" t="s">
        <v>281</v>
      </c>
      <c r="C107" s="34"/>
      <c r="D107" s="50">
        <f>SUM(D108:D111)</f>
        <v>4595035.99</v>
      </c>
    </row>
    <row r="108" spans="1:4" s="8" customFormat="1" ht="84" customHeight="1" x14ac:dyDescent="0.3">
      <c r="A108" s="32" t="s">
        <v>444</v>
      </c>
      <c r="B108" s="33" t="s">
        <v>436</v>
      </c>
      <c r="C108" s="11">
        <v>200</v>
      </c>
      <c r="D108" s="41">
        <f>2941065.73+150000</f>
        <v>3091065.73</v>
      </c>
    </row>
    <row r="109" spans="1:4" s="3" customFormat="1" ht="93.75" customHeight="1" x14ac:dyDescent="0.3">
      <c r="A109" s="32" t="s">
        <v>437</v>
      </c>
      <c r="B109" s="33" t="s">
        <v>438</v>
      </c>
      <c r="C109" s="11">
        <v>200</v>
      </c>
      <c r="D109" s="41">
        <v>1025066.51</v>
      </c>
    </row>
    <row r="110" spans="1:4" s="3" customFormat="1" ht="99.75" customHeight="1" x14ac:dyDescent="0.3">
      <c r="A110" s="44" t="s">
        <v>439</v>
      </c>
      <c r="B110" s="33" t="s">
        <v>440</v>
      </c>
      <c r="C110" s="11">
        <v>200</v>
      </c>
      <c r="D110" s="41">
        <f>150000+287599.83+8.16</f>
        <v>437607.99</v>
      </c>
    </row>
    <row r="111" spans="1:4" s="3" customFormat="1" ht="99.75" customHeight="1" x14ac:dyDescent="0.3">
      <c r="A111" s="44" t="s">
        <v>593</v>
      </c>
      <c r="B111" s="33" t="s">
        <v>592</v>
      </c>
      <c r="C111" s="11">
        <v>200</v>
      </c>
      <c r="D111" s="41">
        <v>41295.760000000002</v>
      </c>
    </row>
    <row r="112" spans="1:4" ht="65.25" customHeight="1" x14ac:dyDescent="0.3">
      <c r="A112" s="14" t="s">
        <v>236</v>
      </c>
      <c r="B112" s="15" t="s">
        <v>45</v>
      </c>
      <c r="C112" s="7"/>
      <c r="D112" s="58">
        <f>D113</f>
        <v>298021</v>
      </c>
    </row>
    <row r="113" spans="1:4" ht="50.25" customHeight="1" x14ac:dyDescent="0.3">
      <c r="A113" s="16" t="s">
        <v>237</v>
      </c>
      <c r="B113" s="17" t="s">
        <v>46</v>
      </c>
      <c r="C113" s="5"/>
      <c r="D113" s="50">
        <f>SUM(D114:D117)</f>
        <v>298021</v>
      </c>
    </row>
    <row r="114" spans="1:4" s="3" customFormat="1" ht="87.75" customHeight="1" x14ac:dyDescent="0.3">
      <c r="A114" s="18" t="s">
        <v>282</v>
      </c>
      <c r="B114" s="19" t="s">
        <v>47</v>
      </c>
      <c r="C114" s="4">
        <v>200</v>
      </c>
      <c r="D114" s="41">
        <v>184021</v>
      </c>
    </row>
    <row r="115" spans="1:4" ht="145.5" customHeight="1" x14ac:dyDescent="0.3">
      <c r="A115" s="32" t="s">
        <v>426</v>
      </c>
      <c r="B115" s="19" t="s">
        <v>48</v>
      </c>
      <c r="C115" s="4">
        <v>200</v>
      </c>
      <c r="D115" s="41">
        <v>60000</v>
      </c>
    </row>
    <row r="116" spans="1:4" ht="143.25" customHeight="1" x14ac:dyDescent="0.3">
      <c r="A116" s="32" t="s">
        <v>427</v>
      </c>
      <c r="B116" s="19" t="s">
        <v>48</v>
      </c>
      <c r="C116" s="4">
        <v>600</v>
      </c>
      <c r="D116" s="41">
        <v>24000</v>
      </c>
    </row>
    <row r="117" spans="1:4" s="8" customFormat="1" ht="87.75" customHeight="1" x14ac:dyDescent="0.3">
      <c r="A117" s="25" t="s">
        <v>283</v>
      </c>
      <c r="B117" s="19" t="s">
        <v>284</v>
      </c>
      <c r="C117" s="4">
        <v>200</v>
      </c>
      <c r="D117" s="41">
        <v>30000</v>
      </c>
    </row>
    <row r="118" spans="1:4" s="3" customFormat="1" ht="147" customHeight="1" x14ac:dyDescent="0.3">
      <c r="A118" s="26" t="s">
        <v>50</v>
      </c>
      <c r="B118" s="15" t="s">
        <v>49</v>
      </c>
      <c r="C118" s="7"/>
      <c r="D118" s="58">
        <f>D119</f>
        <v>1900000</v>
      </c>
    </row>
    <row r="119" spans="1:4" ht="66.75" customHeight="1" x14ac:dyDescent="0.3">
      <c r="A119" s="51" t="s">
        <v>52</v>
      </c>
      <c r="B119" s="17" t="s">
        <v>51</v>
      </c>
      <c r="C119" s="5"/>
      <c r="D119" s="50">
        <f>SUM(D120:D120)</f>
        <v>1900000</v>
      </c>
    </row>
    <row r="120" spans="1:4" ht="131.25" x14ac:dyDescent="0.3">
      <c r="A120" s="21" t="s">
        <v>285</v>
      </c>
      <c r="B120" s="19" t="s">
        <v>53</v>
      </c>
      <c r="C120" s="4">
        <v>800</v>
      </c>
      <c r="D120" s="41">
        <v>1900000</v>
      </c>
    </row>
    <row r="121" spans="1:4" s="8" customFormat="1" ht="49.5" customHeight="1" x14ac:dyDescent="0.3">
      <c r="A121" s="26" t="s">
        <v>243</v>
      </c>
      <c r="B121" s="15" t="s">
        <v>54</v>
      </c>
      <c r="C121" s="7"/>
      <c r="D121" s="58">
        <f t="shared" ref="D121:D122" si="0">D122</f>
        <v>338239.5</v>
      </c>
    </row>
    <row r="122" spans="1:4" s="3" customFormat="1" ht="47.25" customHeight="1" x14ac:dyDescent="0.3">
      <c r="A122" s="23" t="s">
        <v>286</v>
      </c>
      <c r="B122" s="17" t="s">
        <v>55</v>
      </c>
      <c r="C122" s="5"/>
      <c r="D122" s="50">
        <f t="shared" si="0"/>
        <v>338239.5</v>
      </c>
    </row>
    <row r="123" spans="1:4" ht="69" customHeight="1" x14ac:dyDescent="0.3">
      <c r="A123" s="21" t="s">
        <v>287</v>
      </c>
      <c r="B123" s="19" t="s">
        <v>56</v>
      </c>
      <c r="C123" s="4">
        <v>200</v>
      </c>
      <c r="D123" s="41">
        <v>338239.5</v>
      </c>
    </row>
    <row r="124" spans="1:4" s="3" customFormat="1" ht="71.25" customHeight="1" x14ac:dyDescent="0.3">
      <c r="A124" s="14" t="s">
        <v>162</v>
      </c>
      <c r="B124" s="15" t="s">
        <v>57</v>
      </c>
      <c r="C124" s="7"/>
      <c r="D124" s="58">
        <f t="shared" ref="D124:D125" si="1">D125</f>
        <v>700000</v>
      </c>
    </row>
    <row r="125" spans="1:4" ht="69" customHeight="1" x14ac:dyDescent="0.3">
      <c r="A125" s="28" t="s">
        <v>445</v>
      </c>
      <c r="B125" s="17" t="s">
        <v>58</v>
      </c>
      <c r="C125" s="5"/>
      <c r="D125" s="50">
        <f t="shared" si="1"/>
        <v>700000</v>
      </c>
    </row>
    <row r="126" spans="1:4" ht="88.5" customHeight="1" x14ac:dyDescent="0.3">
      <c r="A126" s="18" t="s">
        <v>180</v>
      </c>
      <c r="B126" s="19" t="s">
        <v>59</v>
      </c>
      <c r="C126" s="4">
        <v>800</v>
      </c>
      <c r="D126" s="41">
        <v>700000</v>
      </c>
    </row>
    <row r="127" spans="1:4" s="8" customFormat="1" ht="93.75" x14ac:dyDescent="0.3">
      <c r="A127" s="26" t="s">
        <v>288</v>
      </c>
      <c r="B127" s="15" t="s">
        <v>289</v>
      </c>
      <c r="C127" s="4"/>
      <c r="D127" s="58">
        <f>D128+D132+D138+D129+D140</f>
        <v>3334131.12</v>
      </c>
    </row>
    <row r="128" spans="1:4" s="3" customFormat="1" ht="37.5" hidden="1" x14ac:dyDescent="0.3">
      <c r="A128" s="23" t="s">
        <v>290</v>
      </c>
      <c r="B128" s="17" t="s">
        <v>291</v>
      </c>
      <c r="C128" s="4"/>
      <c r="D128" s="50">
        <v>0</v>
      </c>
    </row>
    <row r="129" spans="1:4" s="3" customFormat="1" ht="37.5" x14ac:dyDescent="0.3">
      <c r="A129" s="23" t="s">
        <v>290</v>
      </c>
      <c r="B129" s="17" t="s">
        <v>291</v>
      </c>
      <c r="C129" s="5"/>
      <c r="D129" s="50">
        <f>SUM(D130:D131)</f>
        <v>265500</v>
      </c>
    </row>
    <row r="130" spans="1:4" s="3" customFormat="1" ht="117.75" customHeight="1" x14ac:dyDescent="0.3">
      <c r="A130" s="57" t="s">
        <v>468</v>
      </c>
      <c r="B130" s="19" t="s">
        <v>467</v>
      </c>
      <c r="C130" s="4">
        <v>200</v>
      </c>
      <c r="D130" s="41">
        <v>110500</v>
      </c>
    </row>
    <row r="131" spans="1:4" s="3" customFormat="1" ht="126.75" customHeight="1" x14ac:dyDescent="0.3">
      <c r="A131" s="21" t="s">
        <v>469</v>
      </c>
      <c r="B131" s="19" t="s">
        <v>466</v>
      </c>
      <c r="C131" s="4">
        <v>200</v>
      </c>
      <c r="D131" s="41">
        <v>155000</v>
      </c>
    </row>
    <row r="132" spans="1:4" ht="50.25" customHeight="1" x14ac:dyDescent="0.3">
      <c r="A132" s="23" t="s">
        <v>292</v>
      </c>
      <c r="B132" s="24" t="s">
        <v>293</v>
      </c>
      <c r="C132" s="4"/>
      <c r="D132" s="50">
        <f>SUM(D133:D137)</f>
        <v>1347847.67</v>
      </c>
    </row>
    <row r="133" spans="1:4" ht="100.5" customHeight="1" x14ac:dyDescent="0.3">
      <c r="A133" s="44" t="s">
        <v>470</v>
      </c>
      <c r="B133" s="55" t="s">
        <v>471</v>
      </c>
      <c r="C133" s="11">
        <v>500</v>
      </c>
      <c r="D133" s="41">
        <v>593956.68000000005</v>
      </c>
    </row>
    <row r="134" spans="1:4" ht="84.75" customHeight="1" x14ac:dyDescent="0.3">
      <c r="A134" s="21" t="s">
        <v>294</v>
      </c>
      <c r="B134" s="27" t="s">
        <v>295</v>
      </c>
      <c r="C134" s="4">
        <v>200</v>
      </c>
      <c r="D134" s="41">
        <v>134500</v>
      </c>
    </row>
    <row r="135" spans="1:4" ht="81.75" customHeight="1" x14ac:dyDescent="0.3">
      <c r="A135" s="21" t="s">
        <v>473</v>
      </c>
      <c r="B135" s="27" t="s">
        <v>472</v>
      </c>
      <c r="C135" s="4">
        <v>200</v>
      </c>
      <c r="D135" s="41">
        <v>75000</v>
      </c>
    </row>
    <row r="136" spans="1:4" ht="84.75" customHeight="1" x14ac:dyDescent="0.3">
      <c r="A136" s="21" t="s">
        <v>475</v>
      </c>
      <c r="B136" s="27" t="s">
        <v>474</v>
      </c>
      <c r="C136" s="4">
        <v>200</v>
      </c>
      <c r="D136" s="41">
        <v>470043.32</v>
      </c>
    </row>
    <row r="137" spans="1:4" ht="84.75" customHeight="1" x14ac:dyDescent="0.3">
      <c r="A137" s="21" t="s">
        <v>594</v>
      </c>
      <c r="B137" s="33" t="s">
        <v>597</v>
      </c>
      <c r="C137" s="4">
        <v>200</v>
      </c>
      <c r="D137" s="41">
        <v>74347.67</v>
      </c>
    </row>
    <row r="138" spans="1:4" s="8" customFormat="1" ht="64.5" customHeight="1" x14ac:dyDescent="0.3">
      <c r="A138" s="23" t="s">
        <v>410</v>
      </c>
      <c r="B138" s="24" t="s">
        <v>296</v>
      </c>
      <c r="C138" s="4"/>
      <c r="D138" s="50">
        <f>D139</f>
        <v>151979.59999999998</v>
      </c>
    </row>
    <row r="139" spans="1:4" s="3" customFormat="1" ht="108.75" customHeight="1" x14ac:dyDescent="0.3">
      <c r="A139" s="20" t="s">
        <v>411</v>
      </c>
      <c r="B139" s="27" t="s">
        <v>297</v>
      </c>
      <c r="C139" s="4">
        <v>200</v>
      </c>
      <c r="D139" s="41">
        <f>55000+13307.4+83672.2</f>
        <v>151979.59999999998</v>
      </c>
    </row>
    <row r="140" spans="1:4" s="3" customFormat="1" ht="49.5" customHeight="1" x14ac:dyDescent="0.3">
      <c r="A140" s="28" t="s">
        <v>477</v>
      </c>
      <c r="B140" s="24" t="s">
        <v>476</v>
      </c>
      <c r="C140" s="5"/>
      <c r="D140" s="50">
        <f>D141+D142</f>
        <v>1568803.85</v>
      </c>
    </row>
    <row r="141" spans="1:4" s="3" customFormat="1" ht="83.25" customHeight="1" x14ac:dyDescent="0.3">
      <c r="A141" s="20" t="s">
        <v>479</v>
      </c>
      <c r="B141" s="27" t="s">
        <v>478</v>
      </c>
      <c r="C141" s="4">
        <v>200</v>
      </c>
      <c r="D141" s="41">
        <v>1410000</v>
      </c>
    </row>
    <row r="142" spans="1:4" s="3" customFormat="1" ht="99.75" customHeight="1" x14ac:dyDescent="0.3">
      <c r="A142" s="20" t="s">
        <v>581</v>
      </c>
      <c r="B142" s="27" t="s">
        <v>580</v>
      </c>
      <c r="C142" s="4">
        <v>200</v>
      </c>
      <c r="D142" s="41">
        <v>158803.85</v>
      </c>
    </row>
    <row r="143" spans="1:4" s="3" customFormat="1" ht="106.5" customHeight="1" x14ac:dyDescent="0.3">
      <c r="A143" s="26" t="s">
        <v>298</v>
      </c>
      <c r="B143" s="15" t="s">
        <v>299</v>
      </c>
      <c r="C143" s="4"/>
      <c r="D143" s="58">
        <f>D144+D149</f>
        <v>812140.17999999993</v>
      </c>
    </row>
    <row r="144" spans="1:4" ht="110.25" customHeight="1" x14ac:dyDescent="0.3">
      <c r="A144" s="23" t="s">
        <v>300</v>
      </c>
      <c r="B144" s="17" t="s">
        <v>301</v>
      </c>
      <c r="C144" s="4"/>
      <c r="D144" s="50">
        <f>SUM(D145:D148)</f>
        <v>362485.49</v>
      </c>
    </row>
    <row r="145" spans="1:4" s="8" customFormat="1" ht="105" customHeight="1" x14ac:dyDescent="0.3">
      <c r="A145" s="21" t="s">
        <v>302</v>
      </c>
      <c r="B145" s="19" t="s">
        <v>303</v>
      </c>
      <c r="C145" s="4">
        <v>200</v>
      </c>
      <c r="D145" s="41">
        <v>30000</v>
      </c>
    </row>
    <row r="146" spans="1:4" s="8" customFormat="1" ht="159" customHeight="1" x14ac:dyDescent="0.3">
      <c r="A146" s="21" t="s">
        <v>304</v>
      </c>
      <c r="B146" s="19" t="s">
        <v>305</v>
      </c>
      <c r="C146" s="4">
        <v>200</v>
      </c>
      <c r="D146" s="41">
        <v>5000</v>
      </c>
    </row>
    <row r="147" spans="1:4" s="8" customFormat="1" ht="104.25" customHeight="1" x14ac:dyDescent="0.3">
      <c r="A147" s="21" t="s">
        <v>481</v>
      </c>
      <c r="B147" s="19" t="s">
        <v>480</v>
      </c>
      <c r="C147" s="4">
        <v>200</v>
      </c>
      <c r="D147" s="41">
        <v>120000</v>
      </c>
    </row>
    <row r="148" spans="1:4" s="8" customFormat="1" ht="104.25" customHeight="1" x14ac:dyDescent="0.3">
      <c r="A148" s="21" t="s">
        <v>583</v>
      </c>
      <c r="B148" s="19" t="s">
        <v>582</v>
      </c>
      <c r="C148" s="4">
        <v>200</v>
      </c>
      <c r="D148" s="41">
        <v>207485.49</v>
      </c>
    </row>
    <row r="149" spans="1:4" ht="32.25" customHeight="1" x14ac:dyDescent="0.3">
      <c r="A149" s="29" t="s">
        <v>306</v>
      </c>
      <c r="B149" s="24" t="s">
        <v>307</v>
      </c>
      <c r="C149" s="4"/>
      <c r="D149" s="50">
        <f>D150</f>
        <v>449654.69</v>
      </c>
    </row>
    <row r="150" spans="1:4" ht="68.25" customHeight="1" x14ac:dyDescent="0.3">
      <c r="A150" s="21" t="s">
        <v>308</v>
      </c>
      <c r="B150" s="27" t="s">
        <v>309</v>
      </c>
      <c r="C150" s="4">
        <v>800</v>
      </c>
      <c r="D150" s="41">
        <f>469654.69-20000</f>
        <v>449654.69</v>
      </c>
    </row>
    <row r="151" spans="1:4" ht="69" customHeight="1" x14ac:dyDescent="0.3">
      <c r="A151" s="30" t="s">
        <v>310</v>
      </c>
      <c r="B151" s="31" t="s">
        <v>311</v>
      </c>
      <c r="C151" s="4"/>
      <c r="D151" s="58">
        <f>D152</f>
        <v>2962783.04</v>
      </c>
    </row>
    <row r="152" spans="1:4" ht="51.75" customHeight="1" x14ac:dyDescent="0.3">
      <c r="A152" s="23" t="s">
        <v>312</v>
      </c>
      <c r="B152" s="24" t="s">
        <v>313</v>
      </c>
      <c r="C152" s="4"/>
      <c r="D152" s="50">
        <f>SUM(D153:D154)</f>
        <v>2962783.04</v>
      </c>
    </row>
    <row r="153" spans="1:4" s="3" customFormat="1" ht="107.25" customHeight="1" x14ac:dyDescent="0.3">
      <c r="A153" s="44" t="s">
        <v>441</v>
      </c>
      <c r="B153" s="33" t="s">
        <v>314</v>
      </c>
      <c r="C153" s="11">
        <v>200</v>
      </c>
      <c r="D153" s="41">
        <f>1200000+705945.7-158803.85-74347.67</f>
        <v>1672794.18</v>
      </c>
    </row>
    <row r="154" spans="1:4" s="3" customFormat="1" ht="84.75" customHeight="1" x14ac:dyDescent="0.3">
      <c r="A154" s="44" t="s">
        <v>442</v>
      </c>
      <c r="B154" s="33" t="s">
        <v>443</v>
      </c>
      <c r="C154" s="11">
        <v>200</v>
      </c>
      <c r="D154" s="41">
        <f>491000+840284.62-41295.76</f>
        <v>1289988.8600000001</v>
      </c>
    </row>
    <row r="155" spans="1:4" ht="69" customHeight="1" x14ac:dyDescent="0.3">
      <c r="A155" s="14" t="s">
        <v>244</v>
      </c>
      <c r="B155" s="15" t="s">
        <v>60</v>
      </c>
      <c r="C155" s="7"/>
      <c r="D155" s="58">
        <f>D156+D166+D172+D176+D179+D182+D187</f>
        <v>24762874.080000002</v>
      </c>
    </row>
    <row r="156" spans="1:4" ht="46.5" customHeight="1" x14ac:dyDescent="0.3">
      <c r="A156" s="14" t="s">
        <v>245</v>
      </c>
      <c r="B156" s="15" t="s">
        <v>61</v>
      </c>
      <c r="C156" s="7"/>
      <c r="D156" s="58">
        <f>D157+D163</f>
        <v>19185723.120000001</v>
      </c>
    </row>
    <row r="157" spans="1:4" s="8" customFormat="1" ht="47.25" customHeight="1" x14ac:dyDescent="0.3">
      <c r="A157" s="16" t="s">
        <v>63</v>
      </c>
      <c r="B157" s="17" t="s">
        <v>62</v>
      </c>
      <c r="C157" s="5"/>
      <c r="D157" s="50">
        <f>SUM(D158:D162)</f>
        <v>13253667.120000001</v>
      </c>
    </row>
    <row r="158" spans="1:4" s="3" customFormat="1" ht="131.25" x14ac:dyDescent="0.3">
      <c r="A158" s="18" t="s">
        <v>167</v>
      </c>
      <c r="B158" s="19" t="s">
        <v>64</v>
      </c>
      <c r="C158" s="4">
        <v>100</v>
      </c>
      <c r="D158" s="41">
        <f>7535307+375+2275662.71-5000-24900-30000</f>
        <v>9751444.7100000009</v>
      </c>
    </row>
    <row r="159" spans="1:4" ht="87" customHeight="1" x14ac:dyDescent="0.3">
      <c r="A159" s="18" t="s">
        <v>185</v>
      </c>
      <c r="B159" s="19" t="s">
        <v>64</v>
      </c>
      <c r="C159" s="4">
        <v>200</v>
      </c>
      <c r="D159" s="41">
        <f>1942816+5000+24900+142310.41+30000+54525+390000</f>
        <v>2589551.41</v>
      </c>
    </row>
    <row r="160" spans="1:4" s="3" customFormat="1" ht="67.5" customHeight="1" x14ac:dyDescent="0.3">
      <c r="A160" s="18" t="s">
        <v>181</v>
      </c>
      <c r="B160" s="19" t="s">
        <v>64</v>
      </c>
      <c r="C160" s="4">
        <v>800</v>
      </c>
      <c r="D160" s="41">
        <f>20000+22000</f>
        <v>42000</v>
      </c>
    </row>
    <row r="161" spans="1:4" ht="148.5" customHeight="1" x14ac:dyDescent="0.3">
      <c r="A161" s="18" t="s">
        <v>168</v>
      </c>
      <c r="B161" s="19" t="s">
        <v>65</v>
      </c>
      <c r="C161" s="4">
        <v>100</v>
      </c>
      <c r="D161" s="41">
        <f>375408+113373</f>
        <v>488781</v>
      </c>
    </row>
    <row r="162" spans="1:4" ht="102.75" customHeight="1" x14ac:dyDescent="0.3">
      <c r="A162" s="18" t="s">
        <v>186</v>
      </c>
      <c r="B162" s="19" t="s">
        <v>65</v>
      </c>
      <c r="C162" s="4">
        <v>200</v>
      </c>
      <c r="D162" s="41">
        <v>381890</v>
      </c>
    </row>
    <row r="163" spans="1:4" s="8" customFormat="1" ht="64.5" customHeight="1" x14ac:dyDescent="0.3">
      <c r="A163" s="16" t="s">
        <v>246</v>
      </c>
      <c r="B163" s="17" t="s">
        <v>66</v>
      </c>
      <c r="C163" s="5"/>
      <c r="D163" s="50">
        <f>SUM(D164:D165)</f>
        <v>5932056</v>
      </c>
    </row>
    <row r="164" spans="1:4" s="8" customFormat="1" ht="182.25" customHeight="1" x14ac:dyDescent="0.3">
      <c r="A164" s="18" t="s">
        <v>512</v>
      </c>
      <c r="B164" s="19" t="s">
        <v>511</v>
      </c>
      <c r="C164" s="4">
        <v>100</v>
      </c>
      <c r="D164" s="41">
        <v>5615861</v>
      </c>
    </row>
    <row r="165" spans="1:4" s="3" customFormat="1" ht="187.5" customHeight="1" x14ac:dyDescent="0.3">
      <c r="A165" s="18" t="s">
        <v>315</v>
      </c>
      <c r="B165" s="19" t="s">
        <v>67</v>
      </c>
      <c r="C165" s="4">
        <v>100</v>
      </c>
      <c r="D165" s="41">
        <f>242853+73342</f>
        <v>316195</v>
      </c>
    </row>
    <row r="166" spans="1:4" ht="50.25" customHeight="1" x14ac:dyDescent="0.3">
      <c r="A166" s="14" t="s">
        <v>69</v>
      </c>
      <c r="B166" s="15" t="s">
        <v>68</v>
      </c>
      <c r="C166" s="7"/>
      <c r="D166" s="58">
        <f>D167+D169</f>
        <v>4567302.96</v>
      </c>
    </row>
    <row r="167" spans="1:4" s="8" customFormat="1" ht="51.75" customHeight="1" x14ac:dyDescent="0.3">
      <c r="A167" s="16" t="s">
        <v>71</v>
      </c>
      <c r="B167" s="17" t="s">
        <v>70</v>
      </c>
      <c r="C167" s="5"/>
      <c r="D167" s="50">
        <f>D168</f>
        <v>3668235.96</v>
      </c>
    </row>
    <row r="168" spans="1:4" s="3" customFormat="1" ht="84" customHeight="1" x14ac:dyDescent="0.3">
      <c r="A168" s="18" t="s">
        <v>178</v>
      </c>
      <c r="B168" s="19" t="s">
        <v>72</v>
      </c>
      <c r="C168" s="4">
        <v>600</v>
      </c>
      <c r="D168" s="41">
        <f>3544235.96+124000</f>
        <v>3668235.96</v>
      </c>
    </row>
    <row r="169" spans="1:4" ht="69.75" customHeight="1" x14ac:dyDescent="0.3">
      <c r="A169" s="16" t="s">
        <v>74</v>
      </c>
      <c r="B169" s="17" t="s">
        <v>73</v>
      </c>
      <c r="C169" s="5"/>
      <c r="D169" s="50">
        <f>SUM(D170:D171)</f>
        <v>899067</v>
      </c>
    </row>
    <row r="170" spans="1:4" ht="168.75" x14ac:dyDescent="0.3">
      <c r="A170" s="18" t="s">
        <v>510</v>
      </c>
      <c r="B170" s="19" t="s">
        <v>509</v>
      </c>
      <c r="C170" s="4">
        <v>600</v>
      </c>
      <c r="D170" s="41">
        <v>593767</v>
      </c>
    </row>
    <row r="171" spans="1:4" ht="150" x14ac:dyDescent="0.3">
      <c r="A171" s="18" t="s">
        <v>483</v>
      </c>
      <c r="B171" s="19" t="s">
        <v>482</v>
      </c>
      <c r="C171" s="4">
        <v>600</v>
      </c>
      <c r="D171" s="41">
        <v>305300</v>
      </c>
    </row>
    <row r="172" spans="1:4" ht="48" customHeight="1" x14ac:dyDescent="0.3">
      <c r="A172" s="14" t="s">
        <v>527</v>
      </c>
      <c r="B172" s="15" t="s">
        <v>75</v>
      </c>
      <c r="C172" s="7"/>
      <c r="D172" s="58">
        <f>D173</f>
        <v>228848</v>
      </c>
    </row>
    <row r="173" spans="1:4" s="8" customFormat="1" ht="51.75" customHeight="1" x14ac:dyDescent="0.3">
      <c r="A173" s="16" t="s">
        <v>77</v>
      </c>
      <c r="B173" s="17" t="s">
        <v>76</v>
      </c>
      <c r="C173" s="5"/>
      <c r="D173" s="50">
        <f>SUM(D174:D175)</f>
        <v>228848</v>
      </c>
    </row>
    <row r="174" spans="1:4" s="3" customFormat="1" ht="131.25" x14ac:dyDescent="0.3">
      <c r="A174" s="18" t="s">
        <v>187</v>
      </c>
      <c r="B174" s="19" t="s">
        <v>78</v>
      </c>
      <c r="C174" s="4">
        <v>200</v>
      </c>
      <c r="D174" s="41">
        <v>220000</v>
      </c>
    </row>
    <row r="175" spans="1:4" s="3" customFormat="1" ht="75" x14ac:dyDescent="0.3">
      <c r="A175" s="18" t="s">
        <v>513</v>
      </c>
      <c r="B175" s="19" t="s">
        <v>569</v>
      </c>
      <c r="C175" s="4">
        <v>200</v>
      </c>
      <c r="D175" s="41">
        <v>8848</v>
      </c>
    </row>
    <row r="176" spans="1:4" ht="47.25" customHeight="1" x14ac:dyDescent="0.3">
      <c r="A176" s="14" t="s">
        <v>209</v>
      </c>
      <c r="B176" s="15" t="s">
        <v>79</v>
      </c>
      <c r="C176" s="7"/>
      <c r="D176" s="58">
        <f>D177</f>
        <v>50000</v>
      </c>
    </row>
    <row r="177" spans="1:4" ht="45" customHeight="1" x14ac:dyDescent="0.3">
      <c r="A177" s="16" t="s">
        <v>247</v>
      </c>
      <c r="B177" s="17" t="s">
        <v>80</v>
      </c>
      <c r="C177" s="5"/>
      <c r="D177" s="50">
        <f>SUM(D178:D178)</f>
        <v>50000</v>
      </c>
    </row>
    <row r="178" spans="1:4" ht="87" customHeight="1" x14ac:dyDescent="0.3">
      <c r="A178" s="18" t="s">
        <v>210</v>
      </c>
      <c r="B178" s="19" t="s">
        <v>81</v>
      </c>
      <c r="C178" s="4">
        <v>200</v>
      </c>
      <c r="D178" s="41">
        <v>50000</v>
      </c>
    </row>
    <row r="179" spans="1:4" s="3" customFormat="1" ht="74.25" customHeight="1" x14ac:dyDescent="0.3">
      <c r="A179" s="14" t="s">
        <v>447</v>
      </c>
      <c r="B179" s="15" t="s">
        <v>82</v>
      </c>
      <c r="C179" s="7"/>
      <c r="D179" s="58">
        <f t="shared" ref="D179:D180" si="2">D180</f>
        <v>50000</v>
      </c>
    </row>
    <row r="180" spans="1:4" ht="65.25" customHeight="1" x14ac:dyDescent="0.3">
      <c r="A180" s="16" t="s">
        <v>84</v>
      </c>
      <c r="B180" s="17" t="s">
        <v>83</v>
      </c>
      <c r="C180" s="5"/>
      <c r="D180" s="50">
        <f t="shared" si="2"/>
        <v>50000</v>
      </c>
    </row>
    <row r="181" spans="1:4" s="8" customFormat="1" ht="71.25" customHeight="1" x14ac:dyDescent="0.3">
      <c r="A181" s="18" t="s">
        <v>188</v>
      </c>
      <c r="B181" s="19" t="s">
        <v>85</v>
      </c>
      <c r="C181" s="4">
        <v>200</v>
      </c>
      <c r="D181" s="41">
        <v>50000</v>
      </c>
    </row>
    <row r="182" spans="1:4" s="3" customFormat="1" ht="68.25" customHeight="1" x14ac:dyDescent="0.3">
      <c r="A182" s="14" t="s">
        <v>316</v>
      </c>
      <c r="B182" s="15" t="s">
        <v>86</v>
      </c>
      <c r="C182" s="7"/>
      <c r="D182" s="58">
        <f>D183</f>
        <v>319000</v>
      </c>
    </row>
    <row r="183" spans="1:4" s="3" customFormat="1" ht="45" customHeight="1" x14ac:dyDescent="0.3">
      <c r="A183" s="16" t="s">
        <v>248</v>
      </c>
      <c r="B183" s="17" t="s">
        <v>87</v>
      </c>
      <c r="C183" s="5"/>
      <c r="D183" s="50">
        <f>SUM(D184:D186)</f>
        <v>319000</v>
      </c>
    </row>
    <row r="184" spans="1:4" ht="87" customHeight="1" x14ac:dyDescent="0.3">
      <c r="A184" s="21" t="s">
        <v>317</v>
      </c>
      <c r="B184" s="19" t="s">
        <v>318</v>
      </c>
      <c r="C184" s="4">
        <v>600</v>
      </c>
      <c r="D184" s="41">
        <v>40000</v>
      </c>
    </row>
    <row r="185" spans="1:4" ht="108.75" customHeight="1" x14ac:dyDescent="0.3">
      <c r="A185" s="44" t="s">
        <v>542</v>
      </c>
      <c r="B185" s="33" t="s">
        <v>539</v>
      </c>
      <c r="C185" s="4">
        <v>200</v>
      </c>
      <c r="D185" s="41">
        <v>269000</v>
      </c>
    </row>
    <row r="186" spans="1:4" ht="112.5" customHeight="1" x14ac:dyDescent="0.3">
      <c r="A186" s="21" t="s">
        <v>485</v>
      </c>
      <c r="B186" s="19" t="s">
        <v>484</v>
      </c>
      <c r="C186" s="4">
        <v>200</v>
      </c>
      <c r="D186" s="41">
        <v>10000</v>
      </c>
    </row>
    <row r="187" spans="1:4" s="3" customFormat="1" ht="73.5" customHeight="1" x14ac:dyDescent="0.3">
      <c r="A187" s="47" t="s">
        <v>536</v>
      </c>
      <c r="B187" s="15" t="s">
        <v>319</v>
      </c>
      <c r="C187" s="11"/>
      <c r="D187" s="58">
        <f>D188+D191+D194</f>
        <v>362000</v>
      </c>
    </row>
    <row r="188" spans="1:4" ht="48" customHeight="1" x14ac:dyDescent="0.3">
      <c r="A188" s="23" t="s">
        <v>320</v>
      </c>
      <c r="B188" s="17" t="s">
        <v>321</v>
      </c>
      <c r="C188" s="11"/>
      <c r="D188" s="50">
        <f>D189+D190</f>
        <v>245000</v>
      </c>
    </row>
    <row r="189" spans="1:4" ht="89.25" customHeight="1" x14ac:dyDescent="0.3">
      <c r="A189" s="21" t="s">
        <v>322</v>
      </c>
      <c r="B189" s="27" t="s">
        <v>323</v>
      </c>
      <c r="C189" s="11">
        <v>200</v>
      </c>
      <c r="D189" s="41">
        <f>165000+15000-15000+65000</f>
        <v>230000</v>
      </c>
    </row>
    <row r="190" spans="1:4" ht="89.25" customHeight="1" x14ac:dyDescent="0.3">
      <c r="A190" s="21" t="s">
        <v>544</v>
      </c>
      <c r="B190" s="27" t="s">
        <v>323</v>
      </c>
      <c r="C190" s="11">
        <v>600</v>
      </c>
      <c r="D190" s="41">
        <v>15000</v>
      </c>
    </row>
    <row r="191" spans="1:4" s="3" customFormat="1" ht="49.5" customHeight="1" x14ac:dyDescent="0.3">
      <c r="A191" s="23" t="s">
        <v>324</v>
      </c>
      <c r="B191" s="24" t="s">
        <v>325</v>
      </c>
      <c r="C191" s="11"/>
      <c r="D191" s="50">
        <f>SUM(D192:D193)</f>
        <v>107000</v>
      </c>
    </row>
    <row r="192" spans="1:4" ht="75" x14ac:dyDescent="0.3">
      <c r="A192" s="21" t="s">
        <v>326</v>
      </c>
      <c r="B192" s="27" t="s">
        <v>327</v>
      </c>
      <c r="C192" s="11">
        <v>600</v>
      </c>
      <c r="D192" s="41">
        <v>4000</v>
      </c>
    </row>
    <row r="193" spans="1:4" ht="75" x14ac:dyDescent="0.3">
      <c r="A193" s="21" t="s">
        <v>328</v>
      </c>
      <c r="B193" s="19" t="s">
        <v>329</v>
      </c>
      <c r="C193" s="11">
        <v>600</v>
      </c>
      <c r="D193" s="41">
        <f>3000+100000</f>
        <v>103000</v>
      </c>
    </row>
    <row r="194" spans="1:4" s="8" customFormat="1" ht="47.25" customHeight="1" x14ac:dyDescent="0.3">
      <c r="A194" s="23" t="s">
        <v>154</v>
      </c>
      <c r="B194" s="17" t="s">
        <v>330</v>
      </c>
      <c r="C194" s="34"/>
      <c r="D194" s="50">
        <f>SUM(D195:D196)</f>
        <v>10000</v>
      </c>
    </row>
    <row r="195" spans="1:4" s="3" customFormat="1" ht="93.75" x14ac:dyDescent="0.3">
      <c r="A195" s="21" t="s">
        <v>331</v>
      </c>
      <c r="B195" s="19" t="s">
        <v>332</v>
      </c>
      <c r="C195" s="11">
        <v>600</v>
      </c>
      <c r="D195" s="41">
        <v>5000</v>
      </c>
    </row>
    <row r="196" spans="1:4" ht="83.25" customHeight="1" x14ac:dyDescent="0.3">
      <c r="A196" s="21" t="s">
        <v>333</v>
      </c>
      <c r="B196" s="19" t="s">
        <v>334</v>
      </c>
      <c r="C196" s="11">
        <v>600</v>
      </c>
      <c r="D196" s="41">
        <v>5000</v>
      </c>
    </row>
    <row r="197" spans="1:4" ht="105.75" customHeight="1" x14ac:dyDescent="0.3">
      <c r="A197" s="14" t="s">
        <v>335</v>
      </c>
      <c r="B197" s="15" t="s">
        <v>88</v>
      </c>
      <c r="C197" s="7"/>
      <c r="D197" s="58">
        <f>D198+D204+D208</f>
        <v>3230666.2199999997</v>
      </c>
    </row>
    <row r="198" spans="1:4" ht="49.5" customHeight="1" x14ac:dyDescent="0.3">
      <c r="A198" s="14" t="s">
        <v>249</v>
      </c>
      <c r="B198" s="15" t="s">
        <v>89</v>
      </c>
      <c r="C198" s="7"/>
      <c r="D198" s="58">
        <f>D199</f>
        <v>304800</v>
      </c>
    </row>
    <row r="199" spans="1:4" s="8" customFormat="1" ht="66.75" customHeight="1" x14ac:dyDescent="0.3">
      <c r="A199" s="23" t="s">
        <v>336</v>
      </c>
      <c r="B199" s="17" t="s">
        <v>337</v>
      </c>
      <c r="C199" s="5"/>
      <c r="D199" s="50">
        <f>SUM(D200:D203)</f>
        <v>304800</v>
      </c>
    </row>
    <row r="200" spans="1:4" s="3" customFormat="1" ht="104.25" customHeight="1" x14ac:dyDescent="0.3">
      <c r="A200" s="18" t="s">
        <v>189</v>
      </c>
      <c r="B200" s="19" t="s">
        <v>338</v>
      </c>
      <c r="C200" s="4">
        <v>200</v>
      </c>
      <c r="D200" s="41">
        <v>18800</v>
      </c>
    </row>
    <row r="201" spans="1:4" ht="105.75" customHeight="1" x14ac:dyDescent="0.3">
      <c r="A201" s="18" t="s">
        <v>190</v>
      </c>
      <c r="B201" s="19" t="s">
        <v>339</v>
      </c>
      <c r="C201" s="4">
        <v>200</v>
      </c>
      <c r="D201" s="41">
        <v>4300</v>
      </c>
    </row>
    <row r="202" spans="1:4" ht="104.25" customHeight="1" x14ac:dyDescent="0.3">
      <c r="A202" s="18" t="s">
        <v>250</v>
      </c>
      <c r="B202" s="19" t="s">
        <v>340</v>
      </c>
      <c r="C202" s="4">
        <v>200</v>
      </c>
      <c r="D202" s="41">
        <f>204800+46900</f>
        <v>251700</v>
      </c>
    </row>
    <row r="203" spans="1:4" ht="89.25" customHeight="1" x14ac:dyDescent="0.3">
      <c r="A203" s="32" t="s">
        <v>558</v>
      </c>
      <c r="B203" s="19" t="s">
        <v>557</v>
      </c>
      <c r="C203" s="4">
        <v>200</v>
      </c>
      <c r="D203" s="41">
        <v>30000</v>
      </c>
    </row>
    <row r="204" spans="1:4" s="8" customFormat="1" ht="56.25" x14ac:dyDescent="0.3">
      <c r="A204" s="14" t="s">
        <v>251</v>
      </c>
      <c r="B204" s="15" t="s">
        <v>90</v>
      </c>
      <c r="C204" s="7"/>
      <c r="D204" s="58">
        <f>D205</f>
        <v>449000</v>
      </c>
    </row>
    <row r="205" spans="1:4" s="3" customFormat="1" ht="66" customHeight="1" x14ac:dyDescent="0.3">
      <c r="A205" s="23" t="s">
        <v>341</v>
      </c>
      <c r="B205" s="17" t="s">
        <v>342</v>
      </c>
      <c r="C205" s="5"/>
      <c r="D205" s="50">
        <f>SUM(D206:D207)</f>
        <v>449000</v>
      </c>
    </row>
    <row r="206" spans="1:4" ht="93.75" x14ac:dyDescent="0.3">
      <c r="A206" s="43" t="s">
        <v>421</v>
      </c>
      <c r="B206" s="33" t="s">
        <v>343</v>
      </c>
      <c r="C206" s="11">
        <v>200</v>
      </c>
      <c r="D206" s="41">
        <f>190300-60000</f>
        <v>130300</v>
      </c>
    </row>
    <row r="207" spans="1:4" ht="93.75" x14ac:dyDescent="0.3">
      <c r="A207" s="44" t="s">
        <v>446</v>
      </c>
      <c r="B207" s="33" t="s">
        <v>424</v>
      </c>
      <c r="C207" s="11">
        <v>600</v>
      </c>
      <c r="D207" s="41">
        <f>190700+60000+68000</f>
        <v>318700</v>
      </c>
    </row>
    <row r="208" spans="1:4" s="3" customFormat="1" ht="71.25" customHeight="1" x14ac:dyDescent="0.3">
      <c r="A208" s="26" t="s">
        <v>344</v>
      </c>
      <c r="B208" s="31" t="s">
        <v>345</v>
      </c>
      <c r="C208" s="11"/>
      <c r="D208" s="58">
        <f>D209</f>
        <v>2476866.2199999997</v>
      </c>
    </row>
    <row r="209" spans="1:4" ht="66" customHeight="1" x14ac:dyDescent="0.3">
      <c r="A209" s="23" t="s">
        <v>346</v>
      </c>
      <c r="B209" s="24" t="s">
        <v>347</v>
      </c>
      <c r="C209" s="4"/>
      <c r="D209" s="50">
        <f>SUM(D210:D217)</f>
        <v>2476866.2199999997</v>
      </c>
    </row>
    <row r="210" spans="1:4" ht="131.25" x14ac:dyDescent="0.3">
      <c r="A210" s="21" t="s">
        <v>348</v>
      </c>
      <c r="B210" s="27" t="s">
        <v>349</v>
      </c>
      <c r="C210" s="4">
        <v>100</v>
      </c>
      <c r="D210" s="41">
        <f>1368793.34+150+413375.43+114762.45</f>
        <v>1897081.22</v>
      </c>
    </row>
    <row r="211" spans="1:4" s="8" customFormat="1" ht="87" customHeight="1" x14ac:dyDescent="0.3">
      <c r="A211" s="21" t="s">
        <v>350</v>
      </c>
      <c r="B211" s="27" t="s">
        <v>349</v>
      </c>
      <c r="C211" s="4">
        <v>200</v>
      </c>
      <c r="D211" s="41">
        <f>104185+3000+70000</f>
        <v>177185</v>
      </c>
    </row>
    <row r="212" spans="1:4" s="8" customFormat="1" ht="66.75" customHeight="1" x14ac:dyDescent="0.3">
      <c r="A212" s="21" t="s">
        <v>414</v>
      </c>
      <c r="B212" s="27" t="s">
        <v>349</v>
      </c>
      <c r="C212" s="4">
        <v>800</v>
      </c>
      <c r="D212" s="41">
        <v>1500</v>
      </c>
    </row>
    <row r="213" spans="1:4" s="3" customFormat="1" ht="68.25" customHeight="1" x14ac:dyDescent="0.3">
      <c r="A213" s="21" t="s">
        <v>351</v>
      </c>
      <c r="B213" s="27" t="s">
        <v>352</v>
      </c>
      <c r="C213" s="4">
        <v>200</v>
      </c>
      <c r="D213" s="41">
        <v>10000</v>
      </c>
    </row>
    <row r="214" spans="1:4" ht="63.75" customHeight="1" x14ac:dyDescent="0.3">
      <c r="A214" s="21" t="s">
        <v>191</v>
      </c>
      <c r="B214" s="27" t="s">
        <v>353</v>
      </c>
      <c r="C214" s="4">
        <v>200</v>
      </c>
      <c r="D214" s="41">
        <f>10000+10000</f>
        <v>20000</v>
      </c>
    </row>
    <row r="215" spans="1:4" ht="85.5" customHeight="1" x14ac:dyDescent="0.3">
      <c r="A215" s="44" t="s">
        <v>354</v>
      </c>
      <c r="B215" s="33" t="s">
        <v>355</v>
      </c>
      <c r="C215" s="11">
        <v>200</v>
      </c>
      <c r="D215" s="41">
        <f>121000+20000+86100</f>
        <v>227100</v>
      </c>
    </row>
    <row r="216" spans="1:4" ht="51" customHeight="1" x14ac:dyDescent="0.3">
      <c r="A216" s="52" t="s">
        <v>434</v>
      </c>
      <c r="B216" s="11" t="s">
        <v>355</v>
      </c>
      <c r="C216" s="11">
        <v>800</v>
      </c>
      <c r="D216" s="41">
        <v>20000</v>
      </c>
    </row>
    <row r="217" spans="1:4" ht="112.5" x14ac:dyDescent="0.3">
      <c r="A217" s="21" t="s">
        <v>529</v>
      </c>
      <c r="B217" s="27" t="s">
        <v>356</v>
      </c>
      <c r="C217" s="4">
        <v>600</v>
      </c>
      <c r="D217" s="41">
        <f>10000+44000+70000</f>
        <v>124000</v>
      </c>
    </row>
    <row r="218" spans="1:4" s="8" customFormat="1" ht="66" customHeight="1" x14ac:dyDescent="0.3">
      <c r="A218" s="14" t="s">
        <v>252</v>
      </c>
      <c r="B218" s="15" t="s">
        <v>91</v>
      </c>
      <c r="C218" s="7"/>
      <c r="D218" s="58">
        <f>D219+D225+D229+D233</f>
        <v>1574000</v>
      </c>
    </row>
    <row r="219" spans="1:4" s="3" customFormat="1" ht="49.5" customHeight="1" x14ac:dyDescent="0.3">
      <c r="A219" s="14" t="s">
        <v>253</v>
      </c>
      <c r="B219" s="15" t="s">
        <v>92</v>
      </c>
      <c r="C219" s="7"/>
      <c r="D219" s="58">
        <f>D220</f>
        <v>135000</v>
      </c>
    </row>
    <row r="220" spans="1:4" ht="49.5" customHeight="1" x14ac:dyDescent="0.3">
      <c r="A220" s="16" t="s">
        <v>254</v>
      </c>
      <c r="B220" s="17" t="s">
        <v>93</v>
      </c>
      <c r="C220" s="5"/>
      <c r="D220" s="50">
        <f>SUM(D221:D224)</f>
        <v>135000</v>
      </c>
    </row>
    <row r="221" spans="1:4" s="8" customFormat="1" ht="112.5" x14ac:dyDescent="0.3">
      <c r="A221" s="21" t="s">
        <v>357</v>
      </c>
      <c r="B221" s="19" t="s">
        <v>94</v>
      </c>
      <c r="C221" s="4">
        <v>800</v>
      </c>
      <c r="D221" s="41">
        <v>45000</v>
      </c>
    </row>
    <row r="222" spans="1:4" s="8" customFormat="1" ht="104.25" customHeight="1" x14ac:dyDescent="0.3">
      <c r="A222" s="21" t="s">
        <v>358</v>
      </c>
      <c r="B222" s="27" t="s">
        <v>95</v>
      </c>
      <c r="C222" s="4">
        <v>800</v>
      </c>
      <c r="D222" s="41">
        <v>45000</v>
      </c>
    </row>
    <row r="223" spans="1:4" s="3" customFormat="1" ht="105.75" customHeight="1" x14ac:dyDescent="0.3">
      <c r="A223" s="21" t="s">
        <v>359</v>
      </c>
      <c r="B223" s="27" t="s">
        <v>360</v>
      </c>
      <c r="C223" s="4">
        <v>800</v>
      </c>
      <c r="D223" s="41">
        <v>20000</v>
      </c>
    </row>
    <row r="224" spans="1:4" ht="84" customHeight="1" x14ac:dyDescent="0.3">
      <c r="A224" s="21" t="s">
        <v>361</v>
      </c>
      <c r="B224" s="27" t="s">
        <v>362</v>
      </c>
      <c r="C224" s="4">
        <v>800</v>
      </c>
      <c r="D224" s="41">
        <v>25000</v>
      </c>
    </row>
    <row r="225" spans="1:4" ht="75" x14ac:dyDescent="0.3">
      <c r="A225" s="14" t="s">
        <v>255</v>
      </c>
      <c r="B225" s="15" t="s">
        <v>96</v>
      </c>
      <c r="C225" s="7"/>
      <c r="D225" s="58">
        <f>D226</f>
        <v>667000</v>
      </c>
    </row>
    <row r="226" spans="1:4" s="3" customFormat="1" ht="52.5" customHeight="1" x14ac:dyDescent="0.3">
      <c r="A226" s="16" t="s">
        <v>256</v>
      </c>
      <c r="B226" s="17" t="s">
        <v>97</v>
      </c>
      <c r="C226" s="5"/>
      <c r="D226" s="50">
        <f>SUM(D227:D228)</f>
        <v>667000</v>
      </c>
    </row>
    <row r="227" spans="1:4" ht="104.25" customHeight="1" x14ac:dyDescent="0.3">
      <c r="A227" s="18" t="s">
        <v>257</v>
      </c>
      <c r="B227" s="19" t="s">
        <v>98</v>
      </c>
      <c r="C227" s="4">
        <v>200</v>
      </c>
      <c r="D227" s="41">
        <v>250000</v>
      </c>
    </row>
    <row r="228" spans="1:4" s="8" customFormat="1" ht="69" customHeight="1" x14ac:dyDescent="0.3">
      <c r="A228" s="21" t="s">
        <v>363</v>
      </c>
      <c r="B228" s="27" t="s">
        <v>364</v>
      </c>
      <c r="C228" s="4">
        <v>200</v>
      </c>
      <c r="D228" s="41">
        <v>417000</v>
      </c>
    </row>
    <row r="229" spans="1:4" s="3" customFormat="1" ht="85.5" customHeight="1" x14ac:dyDescent="0.3">
      <c r="A229" s="14" t="s">
        <v>258</v>
      </c>
      <c r="B229" s="15" t="s">
        <v>99</v>
      </c>
      <c r="C229" s="7"/>
      <c r="D229" s="58">
        <f>D230</f>
        <v>412000</v>
      </c>
    </row>
    <row r="230" spans="1:4" ht="50.25" customHeight="1" x14ac:dyDescent="0.3">
      <c r="A230" s="16" t="s">
        <v>259</v>
      </c>
      <c r="B230" s="17" t="s">
        <v>100</v>
      </c>
      <c r="C230" s="5"/>
      <c r="D230" s="50">
        <f>SUM(D231:D232)</f>
        <v>412000</v>
      </c>
    </row>
    <row r="231" spans="1:4" ht="107.25" customHeight="1" x14ac:dyDescent="0.3">
      <c r="A231" s="18" t="s">
        <v>366</v>
      </c>
      <c r="B231" s="19" t="s">
        <v>367</v>
      </c>
      <c r="C231" s="4">
        <v>200</v>
      </c>
      <c r="D231" s="41">
        <f>305000+7000</f>
        <v>312000</v>
      </c>
    </row>
    <row r="232" spans="1:4" ht="103.5" customHeight="1" x14ac:dyDescent="0.3">
      <c r="A232" s="18" t="s">
        <v>365</v>
      </c>
      <c r="B232" s="19" t="s">
        <v>425</v>
      </c>
      <c r="C232" s="4">
        <v>200</v>
      </c>
      <c r="D232" s="41">
        <v>100000</v>
      </c>
    </row>
    <row r="233" spans="1:4" s="3" customFormat="1" ht="123" customHeight="1" x14ac:dyDescent="0.3">
      <c r="A233" s="26" t="s">
        <v>368</v>
      </c>
      <c r="B233" s="31" t="s">
        <v>369</v>
      </c>
      <c r="C233" s="4"/>
      <c r="D233" s="58">
        <f>D234</f>
        <v>360000</v>
      </c>
    </row>
    <row r="234" spans="1:4" ht="102.75" customHeight="1" x14ac:dyDescent="0.3">
      <c r="A234" s="23" t="s">
        <v>370</v>
      </c>
      <c r="B234" s="24" t="s">
        <v>371</v>
      </c>
      <c r="C234" s="4"/>
      <c r="D234" s="50">
        <f>SUM(D235:D236)</f>
        <v>360000</v>
      </c>
    </row>
    <row r="235" spans="1:4" ht="106.5" customHeight="1" x14ac:dyDescent="0.3">
      <c r="A235" s="46" t="s">
        <v>422</v>
      </c>
      <c r="B235" s="27" t="s">
        <v>372</v>
      </c>
      <c r="C235" s="4">
        <v>200</v>
      </c>
      <c r="D235" s="41">
        <v>180000</v>
      </c>
    </row>
    <row r="236" spans="1:4" ht="105" customHeight="1" x14ac:dyDescent="0.3">
      <c r="A236" s="46" t="s">
        <v>423</v>
      </c>
      <c r="B236" s="27" t="s">
        <v>373</v>
      </c>
      <c r="C236" s="4">
        <v>200</v>
      </c>
      <c r="D236" s="41">
        <v>180000</v>
      </c>
    </row>
    <row r="237" spans="1:4" ht="83.25" customHeight="1" x14ac:dyDescent="0.3">
      <c r="A237" s="14" t="s">
        <v>374</v>
      </c>
      <c r="B237" s="15" t="s">
        <v>101</v>
      </c>
      <c r="C237" s="7"/>
      <c r="D237" s="58">
        <f t="shared" ref="D237" si="3">D238</f>
        <v>1635151.44</v>
      </c>
    </row>
    <row r="238" spans="1:4" s="8" customFormat="1" ht="66.75" customHeight="1" x14ac:dyDescent="0.3">
      <c r="A238" s="14" t="s">
        <v>260</v>
      </c>
      <c r="B238" s="15" t="s">
        <v>102</v>
      </c>
      <c r="C238" s="7"/>
      <c r="D238" s="58">
        <f>D239+D242</f>
        <v>1635151.44</v>
      </c>
    </row>
    <row r="239" spans="1:4" s="8" customFormat="1" ht="65.25" customHeight="1" x14ac:dyDescent="0.3">
      <c r="A239" s="16" t="s">
        <v>261</v>
      </c>
      <c r="B239" s="17" t="s">
        <v>103</v>
      </c>
      <c r="C239" s="5"/>
      <c r="D239" s="50">
        <f>SUM(D240:D241)</f>
        <v>1585151.44</v>
      </c>
    </row>
    <row r="240" spans="1:4" s="3" customFormat="1" ht="105.75" customHeight="1" x14ac:dyDescent="0.3">
      <c r="A240" s="18" t="s">
        <v>262</v>
      </c>
      <c r="B240" s="19" t="s">
        <v>104</v>
      </c>
      <c r="C240" s="4">
        <v>200</v>
      </c>
      <c r="D240" s="41">
        <f>150000+50000+50000-50000+339011.24</f>
        <v>539011.24</v>
      </c>
    </row>
    <row r="241" spans="1:4" s="3" customFormat="1" ht="106.5" customHeight="1" x14ac:dyDescent="0.3">
      <c r="A241" s="32" t="s">
        <v>429</v>
      </c>
      <c r="B241" s="33" t="s">
        <v>104</v>
      </c>
      <c r="C241" s="4">
        <v>600</v>
      </c>
      <c r="D241" s="41">
        <f>310000+736140.2</f>
        <v>1046140.2</v>
      </c>
    </row>
    <row r="242" spans="1:4" s="3" customFormat="1" ht="81" customHeight="1" x14ac:dyDescent="0.3">
      <c r="A242" s="54" t="s">
        <v>530</v>
      </c>
      <c r="B242" s="49" t="s">
        <v>531</v>
      </c>
      <c r="C242" s="5"/>
      <c r="D242" s="50">
        <f>D243</f>
        <v>50000</v>
      </c>
    </row>
    <row r="243" spans="1:4" s="3" customFormat="1" ht="118.5" customHeight="1" x14ac:dyDescent="0.3">
      <c r="A243" s="32" t="s">
        <v>535</v>
      </c>
      <c r="B243" s="33" t="s">
        <v>532</v>
      </c>
      <c r="C243" s="4">
        <v>200</v>
      </c>
      <c r="D243" s="41">
        <v>50000</v>
      </c>
    </row>
    <row r="244" spans="1:4" ht="103.5" customHeight="1" x14ac:dyDescent="0.3">
      <c r="A244" s="14" t="s">
        <v>106</v>
      </c>
      <c r="B244" s="15" t="s">
        <v>105</v>
      </c>
      <c r="C244" s="7"/>
      <c r="D244" s="58">
        <f>D245+D253</f>
        <v>266800</v>
      </c>
    </row>
    <row r="245" spans="1:4" ht="85.5" customHeight="1" x14ac:dyDescent="0.3">
      <c r="A245" s="14" t="s">
        <v>199</v>
      </c>
      <c r="B245" s="15" t="s">
        <v>107</v>
      </c>
      <c r="C245" s="7"/>
      <c r="D245" s="58">
        <f>D246+D249</f>
        <v>112000</v>
      </c>
    </row>
    <row r="246" spans="1:4" ht="70.5" customHeight="1" x14ac:dyDescent="0.3">
      <c r="A246" s="16" t="s">
        <v>109</v>
      </c>
      <c r="B246" s="17" t="s">
        <v>108</v>
      </c>
      <c r="C246" s="5"/>
      <c r="D246" s="50">
        <f>SUM(D247:D248)</f>
        <v>20000</v>
      </c>
    </row>
    <row r="247" spans="1:4" s="8" customFormat="1" ht="102" customHeight="1" x14ac:dyDescent="0.3">
      <c r="A247" s="18" t="s">
        <v>192</v>
      </c>
      <c r="B247" s="19" t="s">
        <v>110</v>
      </c>
      <c r="C247" s="4">
        <v>200</v>
      </c>
      <c r="D247" s="41">
        <v>10000</v>
      </c>
    </row>
    <row r="248" spans="1:4" s="8" customFormat="1" ht="87.75" customHeight="1" x14ac:dyDescent="0.3">
      <c r="A248" s="18" t="s">
        <v>375</v>
      </c>
      <c r="B248" s="19" t="s">
        <v>111</v>
      </c>
      <c r="C248" s="4">
        <v>200</v>
      </c>
      <c r="D248" s="41">
        <v>10000</v>
      </c>
    </row>
    <row r="249" spans="1:4" ht="67.5" customHeight="1" x14ac:dyDescent="0.3">
      <c r="A249" s="16" t="s">
        <v>113</v>
      </c>
      <c r="B249" s="17" t="s">
        <v>112</v>
      </c>
      <c r="C249" s="5"/>
      <c r="D249" s="50">
        <f>SUM(D250:D252)</f>
        <v>92000</v>
      </c>
    </row>
    <row r="250" spans="1:4" ht="83.25" customHeight="1" x14ac:dyDescent="0.3">
      <c r="A250" s="18" t="s">
        <v>193</v>
      </c>
      <c r="B250" s="19" t="s">
        <v>114</v>
      </c>
      <c r="C250" s="4">
        <v>200</v>
      </c>
      <c r="D250" s="41">
        <f>10000+40000</f>
        <v>50000</v>
      </c>
    </row>
    <row r="251" spans="1:4" ht="84.75" customHeight="1" x14ac:dyDescent="0.3">
      <c r="A251" s="18" t="s">
        <v>198</v>
      </c>
      <c r="B251" s="19" t="s">
        <v>114</v>
      </c>
      <c r="C251" s="4">
        <v>600</v>
      </c>
      <c r="D251" s="41">
        <v>20000</v>
      </c>
    </row>
    <row r="252" spans="1:4" ht="84.75" customHeight="1" x14ac:dyDescent="0.3">
      <c r="A252" s="18" t="s">
        <v>578</v>
      </c>
      <c r="B252" s="19" t="s">
        <v>570</v>
      </c>
      <c r="C252" s="4">
        <v>200</v>
      </c>
      <c r="D252" s="41">
        <v>22000</v>
      </c>
    </row>
    <row r="253" spans="1:4" s="3" customFormat="1" ht="146.25" customHeight="1" x14ac:dyDescent="0.3">
      <c r="A253" s="14" t="s">
        <v>430</v>
      </c>
      <c r="B253" s="15" t="s">
        <v>115</v>
      </c>
      <c r="C253" s="7"/>
      <c r="D253" s="58">
        <f t="shared" ref="D253:D254" si="4">D254</f>
        <v>154800</v>
      </c>
    </row>
    <row r="254" spans="1:4" ht="70.5" customHeight="1" x14ac:dyDescent="0.3">
      <c r="A254" s="16" t="s">
        <v>431</v>
      </c>
      <c r="B254" s="17" t="s">
        <v>116</v>
      </c>
      <c r="C254" s="5"/>
      <c r="D254" s="50">
        <f t="shared" si="4"/>
        <v>154800</v>
      </c>
    </row>
    <row r="255" spans="1:4" ht="144.75" customHeight="1" x14ac:dyDescent="0.3">
      <c r="A255" s="18" t="s">
        <v>432</v>
      </c>
      <c r="B255" s="19" t="s">
        <v>117</v>
      </c>
      <c r="C255" s="4">
        <v>600</v>
      </c>
      <c r="D255" s="41">
        <v>154800</v>
      </c>
    </row>
    <row r="256" spans="1:4" ht="90" customHeight="1" x14ac:dyDescent="0.3">
      <c r="A256" s="14" t="s">
        <v>263</v>
      </c>
      <c r="B256" s="15" t="s">
        <v>118</v>
      </c>
      <c r="C256" s="7"/>
      <c r="D256" s="58">
        <f>D257+D273+D276</f>
        <v>45430931.93999999</v>
      </c>
    </row>
    <row r="257" spans="1:4" ht="93" customHeight="1" x14ac:dyDescent="0.3">
      <c r="A257" s="14" t="s">
        <v>264</v>
      </c>
      <c r="B257" s="15" t="s">
        <v>119</v>
      </c>
      <c r="C257" s="7"/>
      <c r="D257" s="58">
        <f>D258+D260+D264+D269</f>
        <v>41486599.319999993</v>
      </c>
    </row>
    <row r="258" spans="1:4" s="8" customFormat="1" ht="63" customHeight="1" x14ac:dyDescent="0.3">
      <c r="A258" s="16" t="s">
        <v>121</v>
      </c>
      <c r="B258" s="17" t="s">
        <v>120</v>
      </c>
      <c r="C258" s="5"/>
      <c r="D258" s="50">
        <f>D259</f>
        <v>1098290.4099999999</v>
      </c>
    </row>
    <row r="259" spans="1:4" s="3" customFormat="1" ht="126" customHeight="1" x14ac:dyDescent="0.3">
      <c r="A259" s="18" t="s">
        <v>169</v>
      </c>
      <c r="B259" s="19" t="s">
        <v>122</v>
      </c>
      <c r="C259" s="4">
        <v>100</v>
      </c>
      <c r="D259" s="41">
        <f>816192+226485.38+55613.03</f>
        <v>1098290.4099999999</v>
      </c>
    </row>
    <row r="260" spans="1:4" ht="88.5" customHeight="1" x14ac:dyDescent="0.3">
      <c r="A260" s="16" t="s">
        <v>265</v>
      </c>
      <c r="B260" s="17" t="s">
        <v>123</v>
      </c>
      <c r="C260" s="5"/>
      <c r="D260" s="50">
        <f>SUM(D261:D263)</f>
        <v>39882373.409999996</v>
      </c>
    </row>
    <row r="261" spans="1:4" ht="168.75" x14ac:dyDescent="0.3">
      <c r="A261" s="18" t="s">
        <v>266</v>
      </c>
      <c r="B261" s="19" t="s">
        <v>124</v>
      </c>
      <c r="C261" s="4">
        <v>100</v>
      </c>
      <c r="D261" s="41">
        <f>12694192.92+100+3833659.86+4074990.4+1230647.1+1608612.72+600+485801.05+3709709.12+1120332.16+2558410.4+772639.94+2115390+148256.14+337306.02+196964.48+95865.16+517.25+600-197000-2194</f>
        <v>34785400.719999999</v>
      </c>
    </row>
    <row r="262" spans="1:4" s="8" customFormat="1" ht="112.5" x14ac:dyDescent="0.3">
      <c r="A262" s="18" t="s">
        <v>376</v>
      </c>
      <c r="B262" s="19" t="s">
        <v>124</v>
      </c>
      <c r="C262" s="4">
        <v>200</v>
      </c>
      <c r="D262" s="41">
        <f>735007.13+896995.8+129000+612042.26+58903.74+6000-50000+1579602.87+207731.32+133900+27000+581135.6-500+14062.86-517.25-600-2011.64-125900+582+20000-1000+98352</f>
        <v>4919786.6900000013</v>
      </c>
    </row>
    <row r="263" spans="1:4" s="3" customFormat="1" ht="93.75" x14ac:dyDescent="0.3">
      <c r="A263" s="18" t="s">
        <v>267</v>
      </c>
      <c r="B263" s="19" t="s">
        <v>124</v>
      </c>
      <c r="C263" s="4">
        <v>800</v>
      </c>
      <c r="D263" s="41">
        <f>92000+17292+16000+4200-6000+50000+500+1000+2194</f>
        <v>177186</v>
      </c>
    </row>
    <row r="264" spans="1:4" s="8" customFormat="1" ht="66" customHeight="1" x14ac:dyDescent="0.3">
      <c r="A264" s="16" t="s">
        <v>268</v>
      </c>
      <c r="B264" s="17" t="s">
        <v>125</v>
      </c>
      <c r="C264" s="5"/>
      <c r="D264" s="50">
        <f>SUM(D265:D268)</f>
        <v>72700</v>
      </c>
    </row>
    <row r="265" spans="1:4" s="8" customFormat="1" ht="123" customHeight="1" x14ac:dyDescent="0.3">
      <c r="A265" s="18" t="s">
        <v>269</v>
      </c>
      <c r="B265" s="19" t="s">
        <v>126</v>
      </c>
      <c r="C265" s="4">
        <v>200</v>
      </c>
      <c r="D265" s="41">
        <v>8000</v>
      </c>
    </row>
    <row r="266" spans="1:4" s="3" customFormat="1" ht="125.25" customHeight="1" x14ac:dyDescent="0.3">
      <c r="A266" s="35" t="s">
        <v>270</v>
      </c>
      <c r="B266" s="19" t="s">
        <v>164</v>
      </c>
      <c r="C266" s="4">
        <v>200</v>
      </c>
      <c r="D266" s="41">
        <f>30000+8000+8000+8000</f>
        <v>54000</v>
      </c>
    </row>
    <row r="267" spans="1:4" ht="102.75" customHeight="1" x14ac:dyDescent="0.3">
      <c r="A267" s="18" t="s">
        <v>271</v>
      </c>
      <c r="B267" s="19" t="s">
        <v>127</v>
      </c>
      <c r="C267" s="4">
        <v>200</v>
      </c>
      <c r="D267" s="41">
        <v>1500</v>
      </c>
    </row>
    <row r="268" spans="1:4" s="3" customFormat="1" ht="85.5" customHeight="1" x14ac:dyDescent="0.3">
      <c r="A268" s="21" t="s">
        <v>377</v>
      </c>
      <c r="B268" s="27" t="s">
        <v>378</v>
      </c>
      <c r="C268" s="4">
        <v>200</v>
      </c>
      <c r="D268" s="41">
        <v>9200</v>
      </c>
    </row>
    <row r="269" spans="1:4" ht="66" customHeight="1" x14ac:dyDescent="0.3">
      <c r="A269" s="16" t="s">
        <v>129</v>
      </c>
      <c r="B269" s="17" t="s">
        <v>128</v>
      </c>
      <c r="C269" s="5"/>
      <c r="D269" s="50">
        <f>SUM(D270:D272)</f>
        <v>433235.5</v>
      </c>
    </row>
    <row r="270" spans="1:4" ht="105.75" customHeight="1" x14ac:dyDescent="0.3">
      <c r="A270" s="32" t="s">
        <v>205</v>
      </c>
      <c r="B270" s="19" t="s">
        <v>130</v>
      </c>
      <c r="C270" s="4">
        <v>200</v>
      </c>
      <c r="D270" s="41">
        <v>11673.5</v>
      </c>
    </row>
    <row r="271" spans="1:4" ht="163.5" customHeight="1" x14ac:dyDescent="0.3">
      <c r="A271" s="43" t="s">
        <v>206</v>
      </c>
      <c r="B271" s="19" t="s">
        <v>131</v>
      </c>
      <c r="C271" s="4">
        <v>100</v>
      </c>
      <c r="D271" s="41">
        <v>359928.4</v>
      </c>
    </row>
    <row r="272" spans="1:4" ht="115.5" customHeight="1" x14ac:dyDescent="0.3">
      <c r="A272" s="32" t="s">
        <v>207</v>
      </c>
      <c r="B272" s="19" t="s">
        <v>131</v>
      </c>
      <c r="C272" s="4">
        <v>200</v>
      </c>
      <c r="D272" s="41">
        <v>61633.599999999999</v>
      </c>
    </row>
    <row r="273" spans="1:4" ht="145.5" customHeight="1" x14ac:dyDescent="0.3">
      <c r="A273" s="26" t="s">
        <v>379</v>
      </c>
      <c r="B273" s="15" t="s">
        <v>132</v>
      </c>
      <c r="C273" s="7"/>
      <c r="D273" s="58">
        <f t="shared" ref="D273" si="5">D274</f>
        <v>3243396.62</v>
      </c>
    </row>
    <row r="274" spans="1:4" ht="108.75" customHeight="1" x14ac:dyDescent="0.3">
      <c r="A274" s="16" t="s">
        <v>272</v>
      </c>
      <c r="B274" s="17" t="s">
        <v>133</v>
      </c>
      <c r="C274" s="5"/>
      <c r="D274" s="50">
        <f>SUM(D275:D275)</f>
        <v>3243396.62</v>
      </c>
    </row>
    <row r="275" spans="1:4" ht="107.25" customHeight="1" x14ac:dyDescent="0.3">
      <c r="A275" s="18" t="s">
        <v>521</v>
      </c>
      <c r="B275" s="19" t="s">
        <v>520</v>
      </c>
      <c r="C275" s="4">
        <v>600</v>
      </c>
      <c r="D275" s="41">
        <v>3243396.62</v>
      </c>
    </row>
    <row r="276" spans="1:4" ht="75" x14ac:dyDescent="0.3">
      <c r="A276" s="26" t="s">
        <v>380</v>
      </c>
      <c r="B276" s="31" t="s">
        <v>381</v>
      </c>
      <c r="C276" s="7"/>
      <c r="D276" s="58">
        <f>D277+D281</f>
        <v>700936</v>
      </c>
    </row>
    <row r="277" spans="1:4" ht="68.25" customHeight="1" x14ac:dyDescent="0.3">
      <c r="A277" s="23" t="s">
        <v>382</v>
      </c>
      <c r="B277" s="24" t="s">
        <v>383</v>
      </c>
      <c r="C277" s="5"/>
      <c r="D277" s="50">
        <f>SUM(D278:D280)</f>
        <v>242230</v>
      </c>
    </row>
    <row r="278" spans="1:4" s="3" customFormat="1" ht="105.75" customHeight="1" x14ac:dyDescent="0.3">
      <c r="A278" s="21" t="s">
        <v>384</v>
      </c>
      <c r="B278" s="27" t="s">
        <v>385</v>
      </c>
      <c r="C278" s="4">
        <v>200</v>
      </c>
      <c r="D278" s="41">
        <f>40450+100000</f>
        <v>140450</v>
      </c>
    </row>
    <row r="279" spans="1:4" ht="122.25" customHeight="1" x14ac:dyDescent="0.3">
      <c r="A279" s="21" t="s">
        <v>386</v>
      </c>
      <c r="B279" s="27" t="s">
        <v>387</v>
      </c>
      <c r="C279" s="4">
        <v>200</v>
      </c>
      <c r="D279" s="41">
        <v>100000</v>
      </c>
    </row>
    <row r="280" spans="1:4" s="3" customFormat="1" ht="99.75" customHeight="1" x14ac:dyDescent="0.3">
      <c r="A280" s="21" t="s">
        <v>388</v>
      </c>
      <c r="B280" s="27" t="s">
        <v>389</v>
      </c>
      <c r="C280" s="4">
        <v>200</v>
      </c>
      <c r="D280" s="41">
        <f>14954-13174</f>
        <v>1780</v>
      </c>
    </row>
    <row r="281" spans="1:4" ht="45.75" customHeight="1" x14ac:dyDescent="0.3">
      <c r="A281" s="23" t="s">
        <v>390</v>
      </c>
      <c r="B281" s="24" t="s">
        <v>391</v>
      </c>
      <c r="C281" s="4"/>
      <c r="D281" s="50">
        <f>SUM(D282:D283)</f>
        <v>458706</v>
      </c>
    </row>
    <row r="282" spans="1:4" ht="82.5" customHeight="1" x14ac:dyDescent="0.3">
      <c r="A282" s="21" t="s">
        <v>392</v>
      </c>
      <c r="B282" s="27" t="s">
        <v>393</v>
      </c>
      <c r="C282" s="4">
        <v>200</v>
      </c>
      <c r="D282" s="41">
        <f>242732+2800+13174</f>
        <v>258706</v>
      </c>
    </row>
    <row r="283" spans="1:4" ht="67.5" customHeight="1" x14ac:dyDescent="0.3">
      <c r="A283" s="21" t="s">
        <v>394</v>
      </c>
      <c r="B283" s="27" t="s">
        <v>395</v>
      </c>
      <c r="C283" s="4">
        <v>200</v>
      </c>
      <c r="D283" s="41">
        <f>100000+100000</f>
        <v>200000</v>
      </c>
    </row>
    <row r="284" spans="1:4" ht="82.5" customHeight="1" x14ac:dyDescent="0.3">
      <c r="A284" s="14" t="s">
        <v>135</v>
      </c>
      <c r="B284" s="15" t="s">
        <v>134</v>
      </c>
      <c r="C284" s="7"/>
      <c r="D284" s="58">
        <f>D285+D288</f>
        <v>114400</v>
      </c>
    </row>
    <row r="285" spans="1:4" ht="67.5" customHeight="1" x14ac:dyDescent="0.3">
      <c r="A285" s="14" t="s">
        <v>137</v>
      </c>
      <c r="B285" s="15" t="s">
        <v>136</v>
      </c>
      <c r="C285" s="7"/>
      <c r="D285" s="58">
        <f>D286</f>
        <v>84400</v>
      </c>
    </row>
    <row r="286" spans="1:4" ht="44.25" customHeight="1" x14ac:dyDescent="0.3">
      <c r="A286" s="16" t="s">
        <v>139</v>
      </c>
      <c r="B286" s="17" t="s">
        <v>138</v>
      </c>
      <c r="C286" s="5"/>
      <c r="D286" s="50">
        <f>SUM(D287:D287)</f>
        <v>84400</v>
      </c>
    </row>
    <row r="287" spans="1:4" ht="131.25" x14ac:dyDescent="0.3">
      <c r="A287" s="18" t="s">
        <v>273</v>
      </c>
      <c r="B287" s="19" t="s">
        <v>140</v>
      </c>
      <c r="C287" s="4">
        <v>600</v>
      </c>
      <c r="D287" s="41">
        <f>35000+49400</f>
        <v>84400</v>
      </c>
    </row>
    <row r="288" spans="1:4" s="8" customFormat="1" ht="56.25" x14ac:dyDescent="0.3">
      <c r="A288" s="14" t="s">
        <v>142</v>
      </c>
      <c r="B288" s="15" t="s">
        <v>141</v>
      </c>
      <c r="C288" s="7"/>
      <c r="D288" s="58">
        <f>D289</f>
        <v>30000</v>
      </c>
    </row>
    <row r="289" spans="1:4" s="8" customFormat="1" ht="47.25" customHeight="1" x14ac:dyDescent="0.3">
      <c r="A289" s="16" t="s">
        <v>144</v>
      </c>
      <c r="B289" s="17" t="s">
        <v>143</v>
      </c>
      <c r="C289" s="5"/>
      <c r="D289" s="50">
        <f>SUM(D290:D293)</f>
        <v>30000</v>
      </c>
    </row>
    <row r="290" spans="1:4" s="3" customFormat="1" ht="140.25" customHeight="1" x14ac:dyDescent="0.3">
      <c r="A290" s="18" t="s">
        <v>194</v>
      </c>
      <c r="B290" s="19" t="s">
        <v>145</v>
      </c>
      <c r="C290" s="4">
        <v>200</v>
      </c>
      <c r="D290" s="41">
        <f>10000+5000</f>
        <v>15000</v>
      </c>
    </row>
    <row r="291" spans="1:4" ht="100.5" customHeight="1" x14ac:dyDescent="0.3">
      <c r="A291" s="18" t="s">
        <v>195</v>
      </c>
      <c r="B291" s="19" t="s">
        <v>146</v>
      </c>
      <c r="C291" s="4">
        <v>200</v>
      </c>
      <c r="D291" s="41">
        <v>4000</v>
      </c>
    </row>
    <row r="292" spans="1:4" ht="105.75" customHeight="1" x14ac:dyDescent="0.3">
      <c r="A292" s="18" t="s">
        <v>196</v>
      </c>
      <c r="B292" s="19" t="s">
        <v>147</v>
      </c>
      <c r="C292" s="4">
        <v>200</v>
      </c>
      <c r="D292" s="41">
        <v>5000</v>
      </c>
    </row>
    <row r="293" spans="1:4" s="8" customFormat="1" ht="123" customHeight="1" x14ac:dyDescent="0.3">
      <c r="A293" s="18" t="s">
        <v>197</v>
      </c>
      <c r="B293" s="19" t="s">
        <v>148</v>
      </c>
      <c r="C293" s="4">
        <v>200</v>
      </c>
      <c r="D293" s="41">
        <v>6000</v>
      </c>
    </row>
    <row r="294" spans="1:4" s="3" customFormat="1" ht="131.25" x14ac:dyDescent="0.3">
      <c r="A294" s="47" t="s">
        <v>416</v>
      </c>
      <c r="B294" s="31" t="s">
        <v>396</v>
      </c>
      <c r="C294" s="4"/>
      <c r="D294" s="58">
        <f>D295</f>
        <v>13500</v>
      </c>
    </row>
    <row r="295" spans="1:4" ht="47.25" customHeight="1" x14ac:dyDescent="0.3">
      <c r="A295" s="45" t="s">
        <v>412</v>
      </c>
      <c r="B295" s="31" t="s">
        <v>397</v>
      </c>
      <c r="C295" s="7"/>
      <c r="D295" s="58">
        <f>D296+D298</f>
        <v>13500</v>
      </c>
    </row>
    <row r="296" spans="1:4" ht="63" customHeight="1" x14ac:dyDescent="0.3">
      <c r="A296" s="48" t="s">
        <v>415</v>
      </c>
      <c r="B296" s="49" t="s">
        <v>398</v>
      </c>
      <c r="C296" s="11"/>
      <c r="D296" s="50">
        <f>SUM(D297)</f>
        <v>12000</v>
      </c>
    </row>
    <row r="297" spans="1:4" ht="104.25" customHeight="1" x14ac:dyDescent="0.3">
      <c r="A297" s="21" t="s">
        <v>399</v>
      </c>
      <c r="B297" s="27" t="s">
        <v>400</v>
      </c>
      <c r="C297" s="4">
        <v>200</v>
      </c>
      <c r="D297" s="41">
        <v>12000</v>
      </c>
    </row>
    <row r="298" spans="1:4" ht="187.5" x14ac:dyDescent="0.3">
      <c r="A298" s="23" t="s">
        <v>401</v>
      </c>
      <c r="B298" s="24" t="s">
        <v>402</v>
      </c>
      <c r="C298" s="4"/>
      <c r="D298" s="50">
        <f>D299</f>
        <v>1500</v>
      </c>
    </row>
    <row r="299" spans="1:4" s="8" customFormat="1" ht="120" customHeight="1" x14ac:dyDescent="0.3">
      <c r="A299" s="44" t="s">
        <v>413</v>
      </c>
      <c r="B299" s="27" t="s">
        <v>403</v>
      </c>
      <c r="C299" s="4">
        <v>200</v>
      </c>
      <c r="D299" s="41">
        <v>1500</v>
      </c>
    </row>
    <row r="300" spans="1:4" ht="81" customHeight="1" x14ac:dyDescent="0.3">
      <c r="A300" s="47" t="s">
        <v>433</v>
      </c>
      <c r="B300" s="15" t="s">
        <v>404</v>
      </c>
      <c r="C300" s="4"/>
      <c r="D300" s="58">
        <f>D301+D305</f>
        <v>837774.7</v>
      </c>
    </row>
    <row r="301" spans="1:4" ht="46.5" customHeight="1" x14ac:dyDescent="0.3">
      <c r="A301" s="14" t="s">
        <v>238</v>
      </c>
      <c r="B301" s="15" t="s">
        <v>405</v>
      </c>
      <c r="C301" s="4"/>
      <c r="D301" s="58">
        <f>D302</f>
        <v>639054.69999999995</v>
      </c>
    </row>
    <row r="302" spans="1:4" ht="45" customHeight="1" x14ac:dyDescent="0.3">
      <c r="A302" s="16" t="s">
        <v>239</v>
      </c>
      <c r="B302" s="17" t="s">
        <v>406</v>
      </c>
      <c r="C302" s="4"/>
      <c r="D302" s="50">
        <f>SUM(D303:D304)</f>
        <v>639054.69999999995</v>
      </c>
    </row>
    <row r="303" spans="1:4" ht="75" x14ac:dyDescent="0.3">
      <c r="A303" s="18" t="s">
        <v>240</v>
      </c>
      <c r="B303" s="19" t="s">
        <v>577</v>
      </c>
      <c r="C303" s="4">
        <v>300</v>
      </c>
      <c r="D303" s="41">
        <v>627900</v>
      </c>
    </row>
    <row r="304" spans="1:4" ht="108" customHeight="1" x14ac:dyDescent="0.3">
      <c r="A304" s="64" t="s">
        <v>572</v>
      </c>
      <c r="B304" s="19" t="s">
        <v>571</v>
      </c>
      <c r="C304" s="4">
        <v>300</v>
      </c>
      <c r="D304" s="41">
        <f>11254.7-100</f>
        <v>11154.7</v>
      </c>
    </row>
    <row r="305" spans="1:4" ht="64.5" customHeight="1" x14ac:dyDescent="0.3">
      <c r="A305" s="14" t="s">
        <v>241</v>
      </c>
      <c r="B305" s="15" t="s">
        <v>407</v>
      </c>
      <c r="C305" s="4"/>
      <c r="D305" s="58">
        <f>D306</f>
        <v>198720</v>
      </c>
    </row>
    <row r="306" spans="1:4" ht="63.75" customHeight="1" x14ac:dyDescent="0.3">
      <c r="A306" s="16" t="s">
        <v>242</v>
      </c>
      <c r="B306" s="17" t="s">
        <v>408</v>
      </c>
      <c r="C306" s="4"/>
      <c r="D306" s="50">
        <f>SUM(D307:D307)</f>
        <v>198720</v>
      </c>
    </row>
    <row r="307" spans="1:4" ht="141" customHeight="1" x14ac:dyDescent="0.3">
      <c r="A307" s="21" t="s">
        <v>563</v>
      </c>
      <c r="B307" s="27" t="s">
        <v>562</v>
      </c>
      <c r="C307" s="4">
        <v>300</v>
      </c>
      <c r="D307" s="41">
        <v>198720</v>
      </c>
    </row>
    <row r="308" spans="1:4" ht="86.25" customHeight="1" x14ac:dyDescent="0.3">
      <c r="A308" s="47" t="s">
        <v>486</v>
      </c>
      <c r="B308" s="53" t="s">
        <v>487</v>
      </c>
      <c r="C308" s="56"/>
      <c r="D308" s="58">
        <f>D309</f>
        <v>209950</v>
      </c>
    </row>
    <row r="309" spans="1:4" ht="76.5" customHeight="1" x14ac:dyDescent="0.3">
      <c r="A309" s="47" t="s">
        <v>488</v>
      </c>
      <c r="B309" s="53" t="s">
        <v>489</v>
      </c>
      <c r="C309" s="56"/>
      <c r="D309" s="58">
        <f>D310</f>
        <v>209950</v>
      </c>
    </row>
    <row r="310" spans="1:4" ht="59.25" customHeight="1" x14ac:dyDescent="0.3">
      <c r="A310" s="48" t="s">
        <v>490</v>
      </c>
      <c r="B310" s="49" t="s">
        <v>491</v>
      </c>
      <c r="C310" s="34"/>
      <c r="D310" s="50">
        <f>SUM(D311:D313)</f>
        <v>209950</v>
      </c>
    </row>
    <row r="311" spans="1:4" ht="71.25" customHeight="1" x14ac:dyDescent="0.3">
      <c r="A311" s="44" t="s">
        <v>492</v>
      </c>
      <c r="B311" s="33" t="s">
        <v>493</v>
      </c>
      <c r="C311" s="11">
        <v>200</v>
      </c>
      <c r="D311" s="41">
        <v>15000</v>
      </c>
    </row>
    <row r="312" spans="1:4" ht="93" customHeight="1" x14ac:dyDescent="0.3">
      <c r="A312" s="44" t="s">
        <v>494</v>
      </c>
      <c r="B312" s="33" t="s">
        <v>495</v>
      </c>
      <c r="C312" s="11">
        <v>200</v>
      </c>
      <c r="D312" s="41">
        <f>20000+6000+56000+6000+35750+10300</f>
        <v>134050</v>
      </c>
    </row>
    <row r="313" spans="1:4" ht="93" customHeight="1" x14ac:dyDescent="0.3">
      <c r="A313" s="44" t="s">
        <v>496</v>
      </c>
      <c r="B313" s="33" t="s">
        <v>495</v>
      </c>
      <c r="C313" s="11">
        <v>600</v>
      </c>
      <c r="D313" s="41">
        <f>18000+10010+32890</f>
        <v>60900</v>
      </c>
    </row>
    <row r="314" spans="1:4" s="8" customFormat="1" ht="108" customHeight="1" x14ac:dyDescent="0.3">
      <c r="A314" s="14" t="s">
        <v>533</v>
      </c>
      <c r="B314" s="15" t="s">
        <v>149</v>
      </c>
      <c r="C314" s="7"/>
      <c r="D314" s="58">
        <f>SUM(D315:D323)</f>
        <v>5510725.7200000007</v>
      </c>
    </row>
    <row r="315" spans="1:4" s="8" customFormat="1" ht="123" customHeight="1" x14ac:dyDescent="0.3">
      <c r="A315" s="18" t="s">
        <v>274</v>
      </c>
      <c r="B315" s="19" t="s">
        <v>150</v>
      </c>
      <c r="C315" s="4">
        <v>100</v>
      </c>
      <c r="D315" s="41">
        <f>946202.4+285753.12+271092.54</f>
        <v>1503048.06</v>
      </c>
    </row>
    <row r="316" spans="1:4" s="8" customFormat="1" ht="81.75" customHeight="1" x14ac:dyDescent="0.3">
      <c r="A316" s="18" t="s">
        <v>275</v>
      </c>
      <c r="B316" s="19" t="s">
        <v>150</v>
      </c>
      <c r="C316" s="4">
        <v>200</v>
      </c>
      <c r="D316" s="41">
        <f>283770+8899+13000+311030</f>
        <v>616699</v>
      </c>
    </row>
    <row r="317" spans="1:4" ht="63.75" customHeight="1" x14ac:dyDescent="0.3">
      <c r="A317" s="18" t="s">
        <v>276</v>
      </c>
      <c r="B317" s="19" t="s">
        <v>150</v>
      </c>
      <c r="C317" s="4">
        <v>800</v>
      </c>
      <c r="D317" s="41">
        <f>3500+14000</f>
        <v>17500</v>
      </c>
    </row>
    <row r="318" spans="1:4" ht="141.75" customHeight="1" x14ac:dyDescent="0.3">
      <c r="A318" s="18" t="s">
        <v>277</v>
      </c>
      <c r="B318" s="19" t="s">
        <v>151</v>
      </c>
      <c r="C318" s="4">
        <v>100</v>
      </c>
      <c r="D318" s="41">
        <f>80899-8899</f>
        <v>72000</v>
      </c>
    </row>
    <row r="319" spans="1:4" ht="145.5" customHeight="1" x14ac:dyDescent="0.3">
      <c r="A319" s="18" t="s">
        <v>170</v>
      </c>
      <c r="B319" s="19" t="s">
        <v>152</v>
      </c>
      <c r="C319" s="4">
        <v>100</v>
      </c>
      <c r="D319" s="41">
        <f>908606.4+275303.97+600</f>
        <v>1184510.3700000001</v>
      </c>
    </row>
    <row r="320" spans="1:4" ht="83.25" customHeight="1" x14ac:dyDescent="0.3">
      <c r="A320" s="18" t="s">
        <v>278</v>
      </c>
      <c r="B320" s="19" t="s">
        <v>152</v>
      </c>
      <c r="C320" s="4">
        <v>200</v>
      </c>
      <c r="D320" s="41">
        <f>222035-100+2880</f>
        <v>224815</v>
      </c>
    </row>
    <row r="321" spans="1:4" ht="150" x14ac:dyDescent="0.3">
      <c r="A321" s="18" t="s">
        <v>171</v>
      </c>
      <c r="B321" s="19" t="s">
        <v>153</v>
      </c>
      <c r="C321" s="4">
        <v>100</v>
      </c>
      <c r="D321" s="38">
        <f>545388.48+164707.32</f>
        <v>710095.8</v>
      </c>
    </row>
    <row r="322" spans="1:4" ht="126" customHeight="1" x14ac:dyDescent="0.3">
      <c r="A322" s="20" t="s">
        <v>172</v>
      </c>
      <c r="B322" s="19" t="s">
        <v>163</v>
      </c>
      <c r="C322" s="4">
        <v>100</v>
      </c>
      <c r="D322" s="38">
        <f>800212.36+241664.13</f>
        <v>1041876.49</v>
      </c>
    </row>
    <row r="323" spans="1:4" ht="205.5" customHeight="1" x14ac:dyDescent="0.3">
      <c r="A323" s="20" t="s">
        <v>574</v>
      </c>
      <c r="B323" s="19" t="s">
        <v>573</v>
      </c>
      <c r="C323" s="4">
        <v>100</v>
      </c>
      <c r="D323" s="38">
        <v>140181</v>
      </c>
    </row>
    <row r="324" spans="1:4" ht="93.75" customHeight="1" x14ac:dyDescent="0.3">
      <c r="A324" s="14" t="s">
        <v>419</v>
      </c>
      <c r="B324" s="15" t="s">
        <v>420</v>
      </c>
      <c r="C324" s="7"/>
      <c r="D324" s="40">
        <f>SUM(D325:D336)</f>
        <v>4783892.53</v>
      </c>
    </row>
    <row r="325" spans="1:4" ht="66" customHeight="1" x14ac:dyDescent="0.3">
      <c r="A325" s="18" t="s">
        <v>504</v>
      </c>
      <c r="B325" s="19" t="s">
        <v>497</v>
      </c>
      <c r="C325" s="4">
        <v>200</v>
      </c>
      <c r="D325" s="38">
        <f>359104+1538691.74+40000+100000-17300</f>
        <v>2020495.74</v>
      </c>
    </row>
    <row r="326" spans="1:4" ht="66" customHeight="1" x14ac:dyDescent="0.3">
      <c r="A326" s="18" t="s">
        <v>598</v>
      </c>
      <c r="B326" s="19" t="s">
        <v>497</v>
      </c>
      <c r="C326" s="4">
        <v>800</v>
      </c>
      <c r="D326" s="38">
        <v>6712</v>
      </c>
    </row>
    <row r="327" spans="1:4" ht="189" customHeight="1" x14ac:dyDescent="0.3">
      <c r="A327" s="21" t="s">
        <v>522</v>
      </c>
      <c r="B327" s="19" t="s">
        <v>498</v>
      </c>
      <c r="C327" s="4">
        <v>500</v>
      </c>
      <c r="D327" s="38">
        <v>20000</v>
      </c>
    </row>
    <row r="328" spans="1:4" ht="64.5" customHeight="1" x14ac:dyDescent="0.3">
      <c r="A328" s="18" t="s">
        <v>505</v>
      </c>
      <c r="B328" s="19" t="s">
        <v>499</v>
      </c>
      <c r="C328" s="4">
        <v>500</v>
      </c>
      <c r="D328" s="38">
        <f>100000+666.75</f>
        <v>100666.75</v>
      </c>
    </row>
    <row r="329" spans="1:4" ht="103.5" customHeight="1" x14ac:dyDescent="0.3">
      <c r="A329" s="18" t="s">
        <v>503</v>
      </c>
      <c r="B329" s="19" t="s">
        <v>500</v>
      </c>
      <c r="C329" s="4">
        <v>200</v>
      </c>
      <c r="D329" s="38">
        <v>200000</v>
      </c>
    </row>
    <row r="330" spans="1:4" ht="70.5" customHeight="1" x14ac:dyDescent="0.3">
      <c r="A330" s="18" t="s">
        <v>560</v>
      </c>
      <c r="B330" s="19" t="s">
        <v>559</v>
      </c>
      <c r="C330" s="4">
        <v>200</v>
      </c>
      <c r="D330" s="38">
        <f>58600+12600+19584.71</f>
        <v>90784.709999999992</v>
      </c>
    </row>
    <row r="331" spans="1:4" ht="143.25" customHeight="1" x14ac:dyDescent="0.3">
      <c r="A331" s="18" t="s">
        <v>576</v>
      </c>
      <c r="B331" s="19" t="s">
        <v>575</v>
      </c>
      <c r="C331" s="4">
        <v>300</v>
      </c>
      <c r="D331" s="38">
        <v>20000</v>
      </c>
    </row>
    <row r="332" spans="1:4" ht="93.75" customHeight="1" x14ac:dyDescent="0.3">
      <c r="A332" s="18" t="s">
        <v>519</v>
      </c>
      <c r="B332" s="33" t="s">
        <v>518</v>
      </c>
      <c r="C332" s="11">
        <v>500</v>
      </c>
      <c r="D332" s="41">
        <v>42817</v>
      </c>
    </row>
    <row r="333" spans="1:4" ht="72.75" customHeight="1" x14ac:dyDescent="0.3">
      <c r="A333" s="18" t="s">
        <v>507</v>
      </c>
      <c r="B333" s="19" t="s">
        <v>501</v>
      </c>
      <c r="C333" s="4">
        <v>300</v>
      </c>
      <c r="D333" s="38">
        <v>1533498.25</v>
      </c>
    </row>
    <row r="334" spans="1:4" ht="198.75" customHeight="1" x14ac:dyDescent="0.3">
      <c r="A334" s="32" t="s">
        <v>417</v>
      </c>
      <c r="B334" s="33" t="s">
        <v>418</v>
      </c>
      <c r="C334" s="11">
        <v>200</v>
      </c>
      <c r="D334" s="41">
        <v>22500</v>
      </c>
    </row>
    <row r="335" spans="1:4" ht="200.25" customHeight="1" x14ac:dyDescent="0.3">
      <c r="A335" s="32" t="s">
        <v>517</v>
      </c>
      <c r="B335" s="33" t="s">
        <v>516</v>
      </c>
      <c r="C335" s="11">
        <v>200</v>
      </c>
      <c r="D335" s="41">
        <v>101433.22</v>
      </c>
    </row>
    <row r="336" spans="1:4" ht="51.75" customHeight="1" x14ac:dyDescent="0.3">
      <c r="A336" s="18" t="s">
        <v>506</v>
      </c>
      <c r="B336" s="19" t="s">
        <v>502</v>
      </c>
      <c r="C336" s="4">
        <v>800</v>
      </c>
      <c r="D336" s="38">
        <v>624984.86</v>
      </c>
    </row>
    <row r="337" spans="1:4" ht="21.75" customHeight="1" x14ac:dyDescent="0.3">
      <c r="A337" s="13" t="s">
        <v>409</v>
      </c>
      <c r="B337" s="36"/>
      <c r="C337" s="37"/>
      <c r="D337" s="40">
        <f>D27+D105+D155+D197+D218+D237+D244+D256+D284+D294+D300+D308+D314+D324</f>
        <v>301494959.43000001</v>
      </c>
    </row>
    <row r="338" spans="1:4" x14ac:dyDescent="0.3">
      <c r="B338" s="9"/>
      <c r="C338" s="10"/>
      <c r="D338" s="63" t="s">
        <v>561</v>
      </c>
    </row>
    <row r="340" spans="1:4" s="8" customFormat="1" x14ac:dyDescent="0.3">
      <c r="A340" s="1"/>
      <c r="B340" s="1"/>
      <c r="C340" s="2"/>
      <c r="D340" s="39"/>
    </row>
    <row r="345" spans="1:4" x14ac:dyDescent="0.3">
      <c r="D345" s="42"/>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A24:A25"/>
    <mergeCell ref="B24:B25"/>
    <mergeCell ref="C24:C25"/>
    <mergeCell ref="A22:D22"/>
    <mergeCell ref="A23:D23"/>
    <mergeCell ref="D24:D25"/>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2018-05-04T07:56:16Z</dcterms:modified>
</cp:coreProperties>
</file>