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Сведения о дох.по видам доходов" sheetId="2" r:id="rId2"/>
  </sheets>
  <definedNames>
    <definedName name="_xlnm.Print_Titles" localSheetId="1">'Сведения о дох.по видам доходов'!$4:$4</definedName>
  </definedNames>
  <calcPr fullCalcOnLoad="1"/>
</workbook>
</file>

<file path=xl/sharedStrings.xml><?xml version="1.0" encoding="utf-8"?>
<sst xmlns="http://schemas.openxmlformats.org/spreadsheetml/2006/main" count="200" uniqueCount="179">
  <si>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</si>
  <si>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</si>
  <si>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</si>
  <si>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</si>
  <si>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</si>
  <si>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</si>
  <si>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</si>
  <si>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</si>
  <si>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</si>
  <si>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000 1 00 00000 00 0000 000</t>
  </si>
  <si>
    <t>182 1 01 02020 01 0000 110</t>
  </si>
  <si>
    <t>000 1 11 00000 00 0000 000</t>
  </si>
  <si>
    <t>000 1 11 05000 00 0000 120</t>
  </si>
  <si>
    <t>000 2 00 00000 00 0000 000</t>
  </si>
  <si>
    <t>000 1 11 05010 00 0000 120</t>
  </si>
  <si>
    <t>000 1 11 05030 00 0000 120</t>
  </si>
  <si>
    <t>000 1 03 02000 01 0000 110</t>
  </si>
  <si>
    <t>000 2 02 00000 00 0000 000</t>
  </si>
  <si>
    <t>НАЛОГИ НА ТОВАРЫ (РАБОТЫ, УСЛУГИ), РЕАЛИЗУЕМЫЕ НА ТЕРРИТОРИИ РОССИЙСКОЙ ФЕДЕРАЦИИ</t>
  </si>
  <si>
    <t>000 1 01 02010 01 0000 110</t>
  </si>
  <si>
    <t>000 1 01 02020 01 0000 110</t>
  </si>
  <si>
    <t>000 1 03 02250 01 0000 110</t>
  </si>
  <si>
    <t>000 1 03 02240 01 0000 110</t>
  </si>
  <si>
    <t>000 1 03 02230 01 0000 110</t>
  </si>
  <si>
    <t>НАЛОГОВЫЕ И НЕНАЛОГОВЫЕ ДОХОДЫ</t>
  </si>
  <si>
    <t>041 1 11 05013 13 0000 120</t>
  </si>
  <si>
    <t>100 1 03 02230 01 0000 110</t>
  </si>
  <si>
    <t>100 1 03 02240 01 0000 110</t>
  </si>
  <si>
    <t>100 1 03 02250 01 0000 110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</si>
  <si>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</si>
  <si>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</si>
  <si>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</si>
  <si>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</si>
  <si>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</si>
  <si>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</si>
  <si>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</si>
  <si>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</si>
  <si>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</si>
  <si>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</si>
  <si>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</si>
  <si>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</si>
  <si>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</si>
  <si>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</si>
  <si>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000 1 01 02000 01 0000 110</t>
  </si>
  <si>
    <t>182 1 01 02010 01 0000 110</t>
  </si>
  <si>
    <t>000 1 03 02260 01 0000 110</t>
  </si>
  <si>
    <t>100 1 03 02260 01 0000 110</t>
  </si>
  <si>
    <t>000 1 06 00000 00 0000 000</t>
  </si>
  <si>
    <t>000 1 06 01000 00 0000 110</t>
  </si>
  <si>
    <t>000 1 06 01030 13 0000 110</t>
  </si>
  <si>
    <t>182 1 06 01030 13 0000 110</t>
  </si>
  <si>
    <t>000 1 06 06000 00 0000 110</t>
  </si>
  <si>
    <t>000 1 06 06030 00 0000 110</t>
  </si>
  <si>
    <t>000 1 06 06033 13 0000 110</t>
  </si>
  <si>
    <t>182 1 06 06033 13 0000 110</t>
  </si>
  <si>
    <t>000 1 06 06043 13 0000 110</t>
  </si>
  <si>
    <t>182 1 06 06043 13 0000 110</t>
  </si>
  <si>
    <t>000 1 11 05025 13 0000 120</t>
  </si>
  <si>
    <t>000 1 11 05013 13 0000 120</t>
  </si>
  <si>
    <t>000 1 11 05035 13 0000 120</t>
  </si>
  <si>
    <t xml:space="preserve">000 1 06 06040 00 0000 110                     </t>
  </si>
  <si>
    <t xml:space="preserve">000 1 11 05020 00 0000 120    </t>
  </si>
  <si>
    <t>000 1 01 00000 00 0000 000</t>
  </si>
  <si>
    <t>000 1 01 02030 01 0000 110</t>
  </si>
  <si>
    <t>182 1 01 02030 01 0000 110</t>
  </si>
  <si>
    <t>000 1 03 00000 00 0000 000</t>
  </si>
  <si>
    <t>000 1 14 00000 00 0000 000</t>
  </si>
  <si>
    <t>000 1 14 06000 00 0000 430</t>
  </si>
  <si>
    <t>000 1 14 06010 00 0000 430</t>
  </si>
  <si>
    <t>000 1 14 06013 13 0000 430</t>
  </si>
  <si>
    <t>041 1 14 06013 13 0000 430</t>
  </si>
  <si>
    <t>НАЛОГИ НА ПРИБЫЛЬ, ДОХОДЫ</t>
  </si>
  <si>
    <r>
      <t xml:space="preserve">Налог на доходы физических лиц </t>
    </r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</si>
  <si>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</si>
  <si>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Земельный налог с физических лиц </t>
  </si>
  <si>
    <r>
      <t>ДОХОДЫ ОТ ИСПОЛЬЗОВАНИЯ ИМУЩЕСТВА, НАХОДЯЩЕГОСЯ В ГОСУДАРСТВЕННОЙ И МУНИЦИПАЛЬНОЙ СОБСТВЕННОСТИ</t>
    </r>
    <r>
      <rPr>
        <b/>
        <sz val="9"/>
        <rFont val="Times New Roman"/>
        <family val="1"/>
      </rPr>
      <t xml:space="preserve"> </t>
    </r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</si>
  <si>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       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</si>
  <si>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</si>
  <si>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</si>
  <si>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 исключением земельных участков муниципальных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</si>
  <si>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исключением земельных участков муниципальных бюджетных и автономных учреждений) 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</si>
  <si>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   фондов и созданных ими учреждений (за исключением имущества      бюджетных и автономных учреждений) </t>
  </si>
  <si>
    <t xml:space="preserve"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 муниципальных бюджетных и автономных учреждений)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</si>
  <si>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муниципальных бюджетных и автономных учреждений)</t>
  </si>
  <si>
    <t xml:space="preserve"> ДОХОДЫ ОТ ПРОДАЖИ МАТЕРИАЛЬНЫХ И НЕМАТЕРИАЛЬНЫХ АКТИВОВ    </t>
  </si>
  <si>
    <t>Доходы от продажи земельных участков, находящихся в государственной и муниципальной собственности</t>
  </si>
  <si>
    <t xml:space="preserve">Доходы от продажи земельных участков, государственная собственность на которые не разграничена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</si>
  <si>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</si>
  <si>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r>
      <t xml:space="preserve">БЕЗВОЗМЕЗДНЫЕ ПОСТУПЛЕНИЯ </t>
    </r>
  </si>
  <si>
    <t xml:space="preserve">БЕЗВОЗМЕЗДНЫЕ ПОСТУПЛЕНИЯ ОТ ДРУГИХ БЮДЖЕТОВ БЮДЖЕТНОЙ СИСТЕМЫ РОССИЙСКОЙ ФЕДЕРАЦИИ </t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</si>
  <si>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  </r>
    <r>
      <rPr>
        <i/>
        <sz val="10"/>
        <rFont val="Times New Roman"/>
        <family val="1"/>
      </rPr>
      <t xml:space="preserve"> </t>
    </r>
  </si>
  <si>
    <r>
  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  </r>
    <r>
      <rPr>
        <i/>
        <sz val="10"/>
        <rFont val="Times New Roman"/>
        <family val="1"/>
      </rPr>
      <t xml:space="preserve"> </t>
    </r>
  </si>
  <si>
    <t>в руб. (гр.4-гр.3)</t>
  </si>
  <si>
    <t>Итого:</t>
  </si>
  <si>
    <t>в % (гр.4/гр.3*100)</t>
  </si>
  <si>
    <t>035 1 11 05025 13 0000 120</t>
  </si>
  <si>
    <t>035 1 11 05035 13 0000 120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</si>
  <si>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</si>
  <si>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</si>
  <si>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000 1 14 02050 13 0000 410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</si>
  <si>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</si>
  <si>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</si>
  <si>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</si>
  <si>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035 1 14 02053 13 0000 410</t>
  </si>
  <si>
    <t>000 2 02 20216 00 0000 151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</si>
  <si>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</si>
  <si>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000 2 02 20216 13 0000 151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</si>
  <si>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</si>
  <si>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035 2 02 20216 13 0000 151</t>
  </si>
  <si>
    <t xml:space="preserve"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</t>
  </si>
  <si>
    <t>000 2 02 25527 00 0000 151</t>
  </si>
  <si>
    <t xml:space="preserve"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</t>
  </si>
  <si>
    <t>000 2 02 25527 13 0000 151</t>
  </si>
  <si>
    <t>Субсидии бюджетам городских поселений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</si>
  <si>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035 2 02 25527 13 0000 151</t>
  </si>
  <si>
    <t>000 2 02 25555 00 0000 151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</si>
  <si>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</si>
  <si>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000 2 02 25555 13 0000 151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</si>
  <si>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</si>
  <si>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035 2 02 25555 13 0000 151</t>
  </si>
  <si>
    <t>Прочие субсидии</t>
  </si>
  <si>
    <t xml:space="preserve">Прочие субсидии бюджетам городских поселений </t>
  </si>
  <si>
    <t xml:space="preserve">Дотации бюджетам бюджетной системы Российской Федерации 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</si>
  <si>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</si>
  <si>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</si>
  <si>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</si>
  <si>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 xml:space="preserve">Дотации бюджетам городских поселений на поддержку мер по обеспечению сбалансированности бюджетов </t>
  </si>
  <si>
    <t>Дотации бюджетам городских поселений на поддержку мер по обеспечению сбалансированности бюджетов</t>
  </si>
  <si>
    <t xml:space="preserve">Субсидии бюджетам бюджетной системы Российской Федерации (межбюджетные субсидии) </t>
  </si>
  <si>
    <t>Код классификации доходов бюджетов Российской Федерации</t>
  </si>
  <si>
    <t>Наименование доходов</t>
  </si>
  <si>
    <t>Сведения о доходах бюджета Южского городского поселения по видам доходов на 2019 год в сравнении с утвержденным планом на 2018 год</t>
  </si>
  <si>
    <t>Утвержденные бюджетные назначения на 01.11.2018 (руб.)</t>
  </si>
  <si>
    <t>Утверждено проектом Решения на 2019 (руб.)</t>
  </si>
  <si>
    <t>Рост (снижение) 2019 год к 2018 году (по состоянию на 1 ноября)</t>
  </si>
  <si>
    <t>000 1 05 00000 00 0000 000</t>
  </si>
  <si>
    <t xml:space="preserve">НАЛОГИ НА СОВОКУПНЫЙ ДОХОД </t>
  </si>
  <si>
    <t>000 1 05 03000 01 0000 110</t>
  </si>
  <si>
    <t xml:space="preserve">Единый сельскохозяйственный налог </t>
  </si>
  <si>
    <t>000 1 05 03010 01 0000 110</t>
  </si>
  <si>
    <t>182 1 05 03010 01 0000 110</t>
  </si>
  <si>
    <t>000 1 16 00000 00 0000 000</t>
  </si>
  <si>
    <t>ШТРАФЫ, САНКЦИИ, ВОЗМЕЩЕНИЕ УЩЕРБА</t>
  </si>
  <si>
    <t>000 1 16 90000 00 0000 140</t>
  </si>
  <si>
    <t>Прочие поступления от денежных взысканий (штрафов) и иных сумм в возмещение ущерба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</si>
  <si>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</si>
  <si>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</si>
  <si>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035 1 16 90050 13 0000 140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</si>
  <si>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</si>
  <si>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</si>
  <si>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000 2 19 00000 13 0000 151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</si>
  <si>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</si>
  <si>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000 2 19 60010 13 0000 151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</si>
  <si>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</si>
  <si>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035 2 19 60010 13 0000 151</t>
  </si>
  <si>
    <t>000 2 02 25497 00 0000 151</t>
  </si>
  <si>
    <t>Субсидии бюджетам на реализацию мероприятий по обеспечению жильем молодых семей</t>
  </si>
  <si>
    <t>000 2 02 25497 13 0000 151</t>
  </si>
  <si>
    <t>Субсидии бюджетам городских поселений на реализацию мероприятий по обеспечению жильем молодых семей</t>
  </si>
  <si>
    <t>035 2 02 25497 13 0000 151</t>
  </si>
  <si>
    <t>Субвенции бюджетам бюджетной системы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</si>
  <si>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</si>
  <si>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</si>
  <si>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10000 00 0000 151 / 000 2 02 10000 00 0000 150*</t>
  </si>
  <si>
    <t>000 2 02 15001 00 0000 151 / 000 2 02 15001 00 0000 150*</t>
  </si>
  <si>
    <t>000 2 02 15001 13 0000 151 / 000 2 02 15001 13 0000 150*</t>
  </si>
  <si>
    <t>037 2 02 15001 13 0000 151 / 037 2 02 15001 13 0000 150*</t>
  </si>
  <si>
    <t>000 2 02 15002 00 0000 151 / 000 2 02 15002 00 0000 150*</t>
  </si>
  <si>
    <t>000 2 02 15002 13 0000 151 / 000 2 02 15002 13 0000 150*</t>
  </si>
  <si>
    <t>037 2 02 15002 13 0000 151 / 037 2 02 15002 13 0000 150*</t>
  </si>
  <si>
    <t>000 2 02 20000 00 0000 151 / 000 2 02 20000 00 0000 150*</t>
  </si>
  <si>
    <t>000 2 02 29999 00 0000 151 / 000 2 02 29999 00 0000 150*</t>
  </si>
  <si>
    <t>000 2 02 29999 13 0000 151 / 000 2 02 29999 13 0000 150*</t>
  </si>
  <si>
    <t>035 2 02 29999 13 0000 151 / 035 2 02 29999 13 0000 150*</t>
  </si>
  <si>
    <t>000 2 02 30000 00 0000 151 / 000 2 02 30000 00 0000 150*</t>
  </si>
  <si>
    <t>000 2 02 35120 00 0000 151 / 000 2 02 35120 00 0000 150*</t>
  </si>
  <si>
    <t>000 2 02 35120 13 0000 151 / 000 2 02 35120 13 0000 150*</t>
  </si>
  <si>
    <t>035 2 02 35120 13 0000 151 / 035 2 02 35120 13 0000 150*</t>
  </si>
  <si>
    <t>* с 2019 года КБК доходов изменены в соответствии с Приказом Минфина России от 08.06.2018 № 132н "О Порядке формирования и применения кодов бюджетной классификации Российской Федерации, их структуре и принципах назначения"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</si>
</sst>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9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2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4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shrinkToFit="1"/>
    </xf>
    <xf numFmtId="0" fontId="1" fillId="0" borderId="11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4" fontId="2" fillId="0" borderId="1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2" fontId="1" fillId="0" borderId="10" xfId="0" applyNumberFormat="1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4" fontId="2" fillId="0" borderId="10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right" vertical="top" wrapText="1"/>
    </xf>
    <xf numFmtId="4" fontId="1" fillId="33" borderId="10" xfId="0" applyNumberFormat="1" applyFont="1" applyFill="1" applyBorder="1" applyAlignment="1">
      <alignment horizontal="right" vertical="top" shrinkToFit="1"/>
    </xf>
    <xf numFmtId="4" fontId="1" fillId="0" borderId="10" xfId="0" applyNumberFormat="1" applyFont="1" applyBorder="1" applyAlignment="1">
      <alignment horizontal="right" vertical="top" wrapText="1"/>
    </xf>
    <xf numFmtId="4" fontId="1" fillId="34" borderId="10" xfId="0" applyNumberFormat="1" applyFont="1" applyFill="1" applyBorder="1" applyAlignment="1">
      <alignment horizontal="right" vertical="top" wrapText="1" shrinkToFit="1"/>
    </xf>
    <xf numFmtId="4" fontId="1" fillId="34" borderId="10" xfId="0" applyNumberFormat="1" applyFont="1" applyFill="1" applyBorder="1" applyAlignment="1" applyProtection="1">
      <alignment horizontal="right" vertical="top" shrinkToFit="1"/>
      <protection locked="0"/>
    </xf>
    <xf numFmtId="4" fontId="2" fillId="34" borderId="10" xfId="0" applyNumberFormat="1" applyFont="1" applyFill="1" applyBorder="1" applyAlignment="1" applyProtection="1">
      <alignment horizontal="right" vertical="top" shrinkToFit="1"/>
      <protection locked="0"/>
    </xf>
    <xf numFmtId="4" fontId="1" fillId="0" borderId="10" xfId="0" applyNumberFormat="1" applyFont="1" applyFill="1" applyBorder="1" applyAlignment="1" applyProtection="1">
      <alignment horizontal="right" vertical="top" shrinkToFit="1"/>
      <protection locked="0"/>
    </xf>
    <xf numFmtId="4" fontId="1" fillId="34" borderId="10" xfId="0" applyNumberFormat="1" applyFont="1" applyFill="1" applyBorder="1" applyAlignment="1">
      <alignment horizontal="right" vertical="top" shrinkToFit="1"/>
    </xf>
    <xf numFmtId="4" fontId="1" fillId="0" borderId="0" xfId="0" applyNumberFormat="1" applyFont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4" fontId="1" fillId="0" borderId="10" xfId="0" applyNumberFormat="1" applyFont="1" applyFill="1" applyBorder="1" applyAlignment="1">
      <alignment horizontal="right" vertical="top" shrinkToFit="1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justify" vertical="top" wrapText="1"/>
    </xf>
    <xf numFmtId="4" fontId="1" fillId="34" borderId="12" xfId="0" applyNumberFormat="1" applyFont="1" applyFill="1" applyBorder="1" applyAlignment="1" applyProtection="1">
      <alignment horizontal="right" vertical="top" shrinkToFit="1"/>
      <protection locked="0"/>
    </xf>
    <xf numFmtId="4" fontId="1" fillId="0" borderId="12" xfId="0" applyNumberFormat="1" applyFont="1" applyFill="1" applyBorder="1" applyAlignment="1">
      <alignment horizontal="right" vertical="top" wrapText="1"/>
    </xf>
    <xf numFmtId="4" fontId="2" fillId="0" borderId="12" xfId="0" applyNumberFormat="1" applyFont="1" applyFill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26" fillId="0" borderId="0" xfId="0" applyFont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9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35.125" style="2" customWidth="1"/>
    <col min="2" max="2" width="48.375" style="3" customWidth="1"/>
    <col min="3" max="3" width="19.875" style="3" customWidth="1"/>
    <col min="4" max="4" width="19.375" style="3" customWidth="1"/>
    <col min="5" max="5" width="12.875" style="4" customWidth="1"/>
    <col min="6" max="6" width="18.25390625" style="3" customWidth="1"/>
    <col min="7" max="16384" width="9.125" style="3" customWidth="1"/>
  </cols>
  <sheetData>
    <row r="1" spans="1:6" s="25" customFormat="1" ht="39.75" customHeight="1">
      <c r="A1" s="55" t="s">
        <v>131</v>
      </c>
      <c r="B1" s="55"/>
      <c r="C1" s="55"/>
      <c r="D1" s="55"/>
      <c r="E1" s="55"/>
      <c r="F1" s="55"/>
    </row>
    <row r="2" spans="1:6" ht="57" customHeight="1">
      <c r="A2" s="53" t="s">
        <v>129</v>
      </c>
      <c r="B2" s="53" t="s">
        <v>130</v>
      </c>
      <c r="C2" s="53" t="s">
        <v>132</v>
      </c>
      <c r="D2" s="53" t="s">
        <v>133</v>
      </c>
      <c r="E2" s="56" t="s">
        <v>134</v>
      </c>
      <c r="F2" s="57"/>
    </row>
    <row r="3" spans="1:6" ht="60.75" customHeight="1">
      <c r="A3" s="54"/>
      <c r="B3" s="54"/>
      <c r="C3" s="54"/>
      <c r="D3" s="54"/>
      <c r="E3" s="9" t="s">
        <v>94</v>
      </c>
      <c r="F3" s="9" t="s">
        <v>92</v>
      </c>
    </row>
    <row r="4" spans="1:6" ht="18.75">
      <c r="A4" s="18">
        <v>1</v>
      </c>
      <c r="B4" s="18">
        <v>2</v>
      </c>
      <c r="C4" s="18">
        <v>3</v>
      </c>
      <c r="D4" s="19">
        <v>4</v>
      </c>
      <c r="E4" s="21">
        <v>5</v>
      </c>
      <c r="F4" s="21">
        <v>6</v>
      </c>
    </row>
    <row r="5" spans="1:6" s="5" customFormat="1" ht="38.25" customHeight="1">
      <c r="A5" s="10" t="s">
        <v>9</v>
      </c>
      <c r="B5" s="13" t="s">
        <v>24</v>
      </c>
      <c r="C5" s="30">
        <f>C6+C14+C28+C39+C50+C24+C59</f>
        <v>40116003.94</v>
      </c>
      <c r="D5" s="30">
        <f>D6+D14+D28+D39+D50+D24+D59</f>
        <v>41787885.37</v>
      </c>
      <c r="E5" s="30">
        <f>D5/C5*100</f>
        <v>104.16761707497231</v>
      </c>
      <c r="F5" s="30">
        <f>D5-C5</f>
        <v>1671881.4299999997</v>
      </c>
    </row>
    <row r="6" spans="1:6" s="5" customFormat="1" ht="18.75">
      <c r="A6" s="10" t="s">
        <v>62</v>
      </c>
      <c r="B6" s="12" t="s">
        <v>71</v>
      </c>
      <c r="C6" s="30">
        <f>C7</f>
        <v>30306058.889999997</v>
      </c>
      <c r="D6" s="30">
        <f>D7</f>
        <v>34356058.91</v>
      </c>
      <c r="E6" s="30">
        <f aca="true" t="shared" si="0" ref="E6:E87">D6/C6*100</f>
        <v>113.36366445633868</v>
      </c>
      <c r="F6" s="30">
        <f aca="true" t="shared" si="1" ref="F6:F92">D6-C6</f>
        <v>4050000.0199999996</v>
      </c>
    </row>
    <row r="7" spans="1:6" ht="18.75">
      <c r="A7" s="6" t="s">
        <v>43</v>
      </c>
      <c r="B7" s="7" t="s">
        <v>72</v>
      </c>
      <c r="C7" s="31">
        <f>C8+C10+C12</f>
        <v>30306058.889999997</v>
      </c>
      <c r="D7" s="31">
        <f>D8+D10+D12</f>
        <v>34356058.91</v>
      </c>
      <c r="E7" s="31">
        <f t="shared" si="0"/>
        <v>113.36366445633868</v>
      </c>
      <c r="F7" s="31">
        <f t="shared" si="1"/>
        <v>4050000.0199999996</v>
      </c>
    </row>
    <row r="8" spans="1:6" ht="150.75" customHeight="1">
      <c r="A8" s="6" t="s">
        <v>19</v>
      </c>
      <c r="B8" s="7" t="s">
        <v>73</v>
      </c>
      <c r="C8" s="32">
        <f>C9</f>
        <v>30176008.24</v>
      </c>
      <c r="D8" s="32">
        <f>D9</f>
        <v>34061058.91</v>
      </c>
      <c r="E8" s="31">
        <f t="shared" si="0"/>
        <v>112.87463417659778</v>
      </c>
      <c r="F8" s="31">
        <f t="shared" si="1"/>
        <v>3885050.669999998</v>
      </c>
    </row>
    <row r="9" spans="1:6" ht="150.75" customHeight="1">
      <c r="A9" s="6" t="s">
        <v>44</v>
      </c>
      <c r="B9" s="7" t="s">
        <v>73</v>
      </c>
      <c r="C9" s="33">
        <f>30176008.24</f>
        <v>30176008.24</v>
      </c>
      <c r="D9" s="32">
        <f>34061058.91</f>
        <v>34061058.91</v>
      </c>
      <c r="E9" s="31">
        <f t="shared" si="0"/>
        <v>112.87463417659778</v>
      </c>
      <c r="F9" s="31">
        <f t="shared" si="1"/>
        <v>3885050.669999998</v>
      </c>
    </row>
    <row r="10" spans="1:6" ht="210" customHeight="1">
      <c r="A10" s="6" t="s">
        <v>20</v>
      </c>
      <c r="B10" s="7" t="s">
        <v>29</v>
      </c>
      <c r="C10" s="32">
        <f>C11</f>
        <v>65838.77</v>
      </c>
      <c r="D10" s="32">
        <f>D11</f>
        <v>210000</v>
      </c>
      <c r="E10" s="31">
        <f t="shared" si="0"/>
        <v>318.9610012459224</v>
      </c>
      <c r="F10" s="31">
        <f t="shared" si="1"/>
        <v>144161.22999999998</v>
      </c>
    </row>
    <row r="11" spans="1:6" ht="207" customHeight="1">
      <c r="A11" s="6" t="s">
        <v>10</v>
      </c>
      <c r="B11" s="7" t="s">
        <v>29</v>
      </c>
      <c r="C11" s="33">
        <f>65838.77</f>
        <v>65838.77</v>
      </c>
      <c r="D11" s="34">
        <f>210000</f>
        <v>210000</v>
      </c>
      <c r="E11" s="31">
        <f t="shared" si="0"/>
        <v>318.9610012459224</v>
      </c>
      <c r="F11" s="31">
        <f t="shared" si="1"/>
        <v>144161.22999999998</v>
      </c>
    </row>
    <row r="12" spans="1:6" ht="94.5" customHeight="1">
      <c r="A12" s="6" t="s">
        <v>63</v>
      </c>
      <c r="B12" s="7" t="s">
        <v>30</v>
      </c>
      <c r="C12" s="34">
        <f>C13</f>
        <v>64211.88</v>
      </c>
      <c r="D12" s="34">
        <f>D13</f>
        <v>85000</v>
      </c>
      <c r="E12" s="31">
        <f t="shared" si="0"/>
        <v>132.37425847055093</v>
      </c>
      <c r="F12" s="31">
        <f t="shared" si="1"/>
        <v>20788.120000000003</v>
      </c>
    </row>
    <row r="13" spans="1:6" ht="93.75">
      <c r="A13" s="6" t="s">
        <v>64</v>
      </c>
      <c r="B13" s="7" t="s">
        <v>30</v>
      </c>
      <c r="C13" s="33">
        <f>64211.88</f>
        <v>64211.88</v>
      </c>
      <c r="D13" s="35">
        <f>85000</f>
        <v>85000</v>
      </c>
      <c r="E13" s="31">
        <f t="shared" si="0"/>
        <v>132.37425847055093</v>
      </c>
      <c r="F13" s="31">
        <f t="shared" si="1"/>
        <v>20788.120000000003</v>
      </c>
    </row>
    <row r="14" spans="1:6" s="5" customFormat="1" ht="77.25" customHeight="1">
      <c r="A14" s="10" t="s">
        <v>65</v>
      </c>
      <c r="B14" s="12" t="s">
        <v>18</v>
      </c>
      <c r="C14" s="36">
        <f>C15</f>
        <v>1717480.11</v>
      </c>
      <c r="D14" s="36">
        <f>D15</f>
        <v>1728786.46</v>
      </c>
      <c r="E14" s="30">
        <f t="shared" si="0"/>
        <v>100.6583103893995</v>
      </c>
      <c r="F14" s="30">
        <f t="shared" si="1"/>
        <v>11306.34999999986</v>
      </c>
    </row>
    <row r="15" spans="1:6" ht="57" customHeight="1">
      <c r="A15" s="6" t="s">
        <v>16</v>
      </c>
      <c r="B15" s="7" t="s">
        <v>31</v>
      </c>
      <c r="C15" s="35">
        <f>C16+C18+C20+C22</f>
        <v>1717480.11</v>
      </c>
      <c r="D15" s="35">
        <f>D16+D18+D20+D22</f>
        <v>1728786.46</v>
      </c>
      <c r="E15" s="31">
        <f t="shared" si="0"/>
        <v>100.6583103893995</v>
      </c>
      <c r="F15" s="31">
        <f t="shared" si="1"/>
        <v>11306.34999999986</v>
      </c>
    </row>
    <row r="16" spans="1:6" s="5" customFormat="1" ht="131.25" customHeight="1">
      <c r="A16" s="6" t="s">
        <v>23</v>
      </c>
      <c r="B16" s="7" t="s">
        <v>32</v>
      </c>
      <c r="C16" s="37">
        <f>C17</f>
        <v>587136.16</v>
      </c>
      <c r="D16" s="37">
        <f>D17</f>
        <v>595740.76</v>
      </c>
      <c r="E16" s="31">
        <f t="shared" si="0"/>
        <v>101.46552036583813</v>
      </c>
      <c r="F16" s="31">
        <f t="shared" si="1"/>
        <v>8604.599999999977</v>
      </c>
    </row>
    <row r="17" spans="1:6" ht="130.5" customHeight="1">
      <c r="A17" s="6" t="s">
        <v>26</v>
      </c>
      <c r="B17" s="7" t="s">
        <v>32</v>
      </c>
      <c r="C17" s="33">
        <f>587136.16</f>
        <v>587136.16</v>
      </c>
      <c r="D17" s="37">
        <f>595740.76</f>
        <v>595740.76</v>
      </c>
      <c r="E17" s="31">
        <f t="shared" si="0"/>
        <v>101.46552036583813</v>
      </c>
      <c r="F17" s="31">
        <f t="shared" si="1"/>
        <v>8604.599999999977</v>
      </c>
    </row>
    <row r="18" spans="1:6" ht="168" customHeight="1">
      <c r="A18" s="6" t="s">
        <v>22</v>
      </c>
      <c r="B18" s="7" t="s">
        <v>33</v>
      </c>
      <c r="C18" s="37">
        <f>C19</f>
        <v>8962.35</v>
      </c>
      <c r="D18" s="37">
        <f>D19</f>
        <v>5125.13</v>
      </c>
      <c r="E18" s="31">
        <f t="shared" si="0"/>
        <v>57.18511327944121</v>
      </c>
      <c r="F18" s="31">
        <f t="shared" si="1"/>
        <v>-3837.2200000000003</v>
      </c>
    </row>
    <row r="19" spans="1:6" ht="170.25" customHeight="1">
      <c r="A19" s="6" t="s">
        <v>27</v>
      </c>
      <c r="B19" s="7" t="s">
        <v>33</v>
      </c>
      <c r="C19" s="33">
        <f>8962.35</f>
        <v>8962.35</v>
      </c>
      <c r="D19" s="35">
        <f>5125.13</f>
        <v>5125.13</v>
      </c>
      <c r="E19" s="31">
        <f t="shared" si="0"/>
        <v>57.18511327944121</v>
      </c>
      <c r="F19" s="31">
        <f t="shared" si="1"/>
        <v>-3837.2200000000003</v>
      </c>
    </row>
    <row r="20" spans="1:6" ht="153" customHeight="1">
      <c r="A20" s="6" t="s">
        <v>21</v>
      </c>
      <c r="B20" s="7" t="s">
        <v>34</v>
      </c>
      <c r="C20" s="35">
        <f>C21</f>
        <v>1208344.32</v>
      </c>
      <c r="D20" s="35">
        <f>D21</f>
        <v>1242171.3</v>
      </c>
      <c r="E20" s="31">
        <f t="shared" si="0"/>
        <v>102.7994487531501</v>
      </c>
      <c r="F20" s="31">
        <f t="shared" si="1"/>
        <v>33826.97999999998</v>
      </c>
    </row>
    <row r="21" spans="1:6" ht="150.75" customHeight="1">
      <c r="A21" s="6" t="s">
        <v>28</v>
      </c>
      <c r="B21" s="7" t="s">
        <v>34</v>
      </c>
      <c r="C21" s="33">
        <f>1208344.32</f>
        <v>1208344.32</v>
      </c>
      <c r="D21" s="35">
        <f>1242171.3</f>
        <v>1242171.3</v>
      </c>
      <c r="E21" s="31">
        <f t="shared" si="0"/>
        <v>102.7994487531501</v>
      </c>
      <c r="F21" s="31">
        <f t="shared" si="1"/>
        <v>33826.97999999998</v>
      </c>
    </row>
    <row r="22" spans="1:6" ht="150">
      <c r="A22" s="6" t="s">
        <v>45</v>
      </c>
      <c r="B22" s="7" t="s">
        <v>35</v>
      </c>
      <c r="C22" s="35">
        <f>C23</f>
        <v>-86962.72</v>
      </c>
      <c r="D22" s="35">
        <f>D23</f>
        <v>-114250.73</v>
      </c>
      <c r="E22" s="31">
        <f t="shared" si="0"/>
        <v>131.37897480667579</v>
      </c>
      <c r="F22" s="31">
        <f t="shared" si="1"/>
        <v>-27288.009999999995</v>
      </c>
    </row>
    <row r="23" spans="1:6" ht="150">
      <c r="A23" s="6" t="s">
        <v>46</v>
      </c>
      <c r="B23" s="7" t="s">
        <v>35</v>
      </c>
      <c r="C23" s="33">
        <f>-86962.72</f>
        <v>-86962.72</v>
      </c>
      <c r="D23" s="35">
        <f>-114250.73</f>
        <v>-114250.73</v>
      </c>
      <c r="E23" s="31">
        <f t="shared" si="0"/>
        <v>131.37897480667579</v>
      </c>
      <c r="F23" s="31">
        <f t="shared" si="1"/>
        <v>-27288.009999999995</v>
      </c>
    </row>
    <row r="24" spans="1:6" s="5" customFormat="1" ht="37.5">
      <c r="A24" s="10" t="s">
        <v>135</v>
      </c>
      <c r="B24" s="11" t="s">
        <v>136</v>
      </c>
      <c r="C24" s="40">
        <f aca="true" t="shared" si="2" ref="C24:D26">C25</f>
        <v>5750</v>
      </c>
      <c r="D24" s="40">
        <f t="shared" si="2"/>
        <v>0</v>
      </c>
      <c r="E24" s="30">
        <f t="shared" si="0"/>
        <v>0</v>
      </c>
      <c r="F24" s="30">
        <f t="shared" si="1"/>
        <v>-5750</v>
      </c>
    </row>
    <row r="25" spans="1:6" ht="18.75">
      <c r="A25" s="6" t="s">
        <v>137</v>
      </c>
      <c r="B25" s="7" t="s">
        <v>138</v>
      </c>
      <c r="C25" s="33">
        <f t="shared" si="2"/>
        <v>5750</v>
      </c>
      <c r="D25" s="33">
        <f t="shared" si="2"/>
        <v>0</v>
      </c>
      <c r="E25" s="31">
        <f t="shared" si="0"/>
        <v>0</v>
      </c>
      <c r="F25" s="31">
        <f t="shared" si="1"/>
        <v>-5750</v>
      </c>
    </row>
    <row r="26" spans="1:6" ht="18.75">
      <c r="A26" s="6" t="s">
        <v>139</v>
      </c>
      <c r="B26" s="7" t="s">
        <v>138</v>
      </c>
      <c r="C26" s="33">
        <f t="shared" si="2"/>
        <v>5750</v>
      </c>
      <c r="D26" s="33">
        <f t="shared" si="2"/>
        <v>0</v>
      </c>
      <c r="E26" s="31">
        <f t="shared" si="0"/>
        <v>0</v>
      </c>
      <c r="F26" s="31">
        <f t="shared" si="1"/>
        <v>-5750</v>
      </c>
    </row>
    <row r="27" spans="1:6" ht="18.75">
      <c r="A27" s="6" t="s">
        <v>140</v>
      </c>
      <c r="B27" s="7" t="s">
        <v>138</v>
      </c>
      <c r="C27" s="33">
        <v>5750</v>
      </c>
      <c r="D27" s="35">
        <f>0</f>
        <v>0</v>
      </c>
      <c r="E27" s="31">
        <f t="shared" si="0"/>
        <v>0</v>
      </c>
      <c r="F27" s="31">
        <f t="shared" si="1"/>
        <v>-5750</v>
      </c>
    </row>
    <row r="28" spans="1:6" s="5" customFormat="1" ht="18.75">
      <c r="A28" s="10" t="s">
        <v>47</v>
      </c>
      <c r="B28" s="12" t="s">
        <v>36</v>
      </c>
      <c r="C28" s="30">
        <f>C29+C32</f>
        <v>4208577</v>
      </c>
      <c r="D28" s="30">
        <f>D29+D32</f>
        <v>4313040</v>
      </c>
      <c r="E28" s="30">
        <f t="shared" si="0"/>
        <v>102.48214539023523</v>
      </c>
      <c r="F28" s="30">
        <f t="shared" si="1"/>
        <v>104463</v>
      </c>
    </row>
    <row r="29" spans="1:6" ht="18.75">
      <c r="A29" s="6" t="s">
        <v>48</v>
      </c>
      <c r="B29" s="7" t="s">
        <v>37</v>
      </c>
      <c r="C29" s="33">
        <f>C30</f>
        <v>595000</v>
      </c>
      <c r="D29" s="33">
        <f>D30</f>
        <v>595000</v>
      </c>
      <c r="E29" s="31">
        <f t="shared" si="0"/>
        <v>100</v>
      </c>
      <c r="F29" s="31">
        <f t="shared" si="1"/>
        <v>0</v>
      </c>
    </row>
    <row r="30" spans="1:6" ht="93.75">
      <c r="A30" s="6" t="s">
        <v>49</v>
      </c>
      <c r="B30" s="7" t="s">
        <v>38</v>
      </c>
      <c r="C30" s="33">
        <f>C31</f>
        <v>595000</v>
      </c>
      <c r="D30" s="33">
        <f>D31</f>
        <v>595000</v>
      </c>
      <c r="E30" s="31">
        <f t="shared" si="0"/>
        <v>100</v>
      </c>
      <c r="F30" s="31">
        <f t="shared" si="1"/>
        <v>0</v>
      </c>
    </row>
    <row r="31" spans="1:6" ht="93.75">
      <c r="A31" s="6" t="s">
        <v>50</v>
      </c>
      <c r="B31" s="7" t="s">
        <v>38</v>
      </c>
      <c r="C31" s="33">
        <f>595000</f>
        <v>595000</v>
      </c>
      <c r="D31" s="35">
        <f>595000</f>
        <v>595000</v>
      </c>
      <c r="E31" s="31">
        <f t="shared" si="0"/>
        <v>100</v>
      </c>
      <c r="F31" s="31">
        <f t="shared" si="1"/>
        <v>0</v>
      </c>
    </row>
    <row r="32" spans="1:6" ht="24" customHeight="1">
      <c r="A32" s="6" t="s">
        <v>51</v>
      </c>
      <c r="B32" s="7" t="s">
        <v>39</v>
      </c>
      <c r="C32" s="33">
        <f>C33+C36</f>
        <v>3613577</v>
      </c>
      <c r="D32" s="33">
        <f>D33+D36</f>
        <v>3718040</v>
      </c>
      <c r="E32" s="31">
        <f t="shared" si="0"/>
        <v>102.89084748989711</v>
      </c>
      <c r="F32" s="31">
        <f t="shared" si="1"/>
        <v>104463</v>
      </c>
    </row>
    <row r="33" spans="1:6" ht="24" customHeight="1">
      <c r="A33" s="6" t="s">
        <v>52</v>
      </c>
      <c r="B33" s="7" t="s">
        <v>40</v>
      </c>
      <c r="C33" s="33">
        <f>C34</f>
        <v>1700000</v>
      </c>
      <c r="D33" s="33">
        <f>D34</f>
        <v>1700000</v>
      </c>
      <c r="E33" s="31">
        <f t="shared" si="0"/>
        <v>100</v>
      </c>
      <c r="F33" s="31">
        <f>D33-C33</f>
        <v>0</v>
      </c>
    </row>
    <row r="34" spans="1:6" ht="75" customHeight="1">
      <c r="A34" s="6" t="s">
        <v>53</v>
      </c>
      <c r="B34" s="7" t="s">
        <v>41</v>
      </c>
      <c r="C34" s="33">
        <f>C35</f>
        <v>1700000</v>
      </c>
      <c r="D34" s="33">
        <f>D35</f>
        <v>1700000</v>
      </c>
      <c r="E34" s="31">
        <f t="shared" si="0"/>
        <v>100</v>
      </c>
      <c r="F34" s="31">
        <f t="shared" si="1"/>
        <v>0</v>
      </c>
    </row>
    <row r="35" spans="1:6" ht="73.5" customHeight="1">
      <c r="A35" s="6" t="s">
        <v>54</v>
      </c>
      <c r="B35" s="7" t="s">
        <v>41</v>
      </c>
      <c r="C35" s="33">
        <f>1700000</f>
        <v>1700000</v>
      </c>
      <c r="D35" s="31">
        <f>1700000</f>
        <v>1700000</v>
      </c>
      <c r="E35" s="31">
        <f t="shared" si="0"/>
        <v>100</v>
      </c>
      <c r="F35" s="31">
        <f t="shared" si="1"/>
        <v>0</v>
      </c>
    </row>
    <row r="36" spans="1:6" ht="20.25" customHeight="1">
      <c r="A36" s="16" t="s">
        <v>60</v>
      </c>
      <c r="B36" s="7" t="s">
        <v>74</v>
      </c>
      <c r="C36" s="38">
        <f>C37</f>
        <v>1913577</v>
      </c>
      <c r="D36" s="38">
        <f>D37</f>
        <v>2018040</v>
      </c>
      <c r="E36" s="31">
        <f t="shared" si="0"/>
        <v>105.45904345631246</v>
      </c>
      <c r="F36" s="31">
        <f t="shared" si="1"/>
        <v>104463</v>
      </c>
    </row>
    <row r="37" spans="1:6" ht="75.75" customHeight="1">
      <c r="A37" s="6" t="s">
        <v>55</v>
      </c>
      <c r="B37" s="7" t="s">
        <v>42</v>
      </c>
      <c r="C37" s="38">
        <f>C38</f>
        <v>1913577</v>
      </c>
      <c r="D37" s="38">
        <f>D38</f>
        <v>2018040</v>
      </c>
      <c r="E37" s="31">
        <f t="shared" si="0"/>
        <v>105.45904345631246</v>
      </c>
      <c r="F37" s="31">
        <f t="shared" si="1"/>
        <v>104463</v>
      </c>
    </row>
    <row r="38" spans="1:6" ht="75.75" customHeight="1">
      <c r="A38" s="6" t="s">
        <v>56</v>
      </c>
      <c r="B38" s="7" t="s">
        <v>42</v>
      </c>
      <c r="C38" s="33">
        <f>1913577</f>
        <v>1913577</v>
      </c>
      <c r="D38" s="38">
        <f>2018040</f>
        <v>2018040</v>
      </c>
      <c r="E38" s="31">
        <f t="shared" si="0"/>
        <v>105.45904345631246</v>
      </c>
      <c r="F38" s="31">
        <f t="shared" si="1"/>
        <v>104463</v>
      </c>
    </row>
    <row r="39" spans="1:6" s="5" customFormat="1" ht="93.75">
      <c r="A39" s="10" t="s">
        <v>11</v>
      </c>
      <c r="B39" s="12" t="s">
        <v>75</v>
      </c>
      <c r="C39" s="36">
        <f>C40</f>
        <v>2707948.98</v>
      </c>
      <c r="D39" s="36">
        <f>D40</f>
        <v>1290000</v>
      </c>
      <c r="E39" s="30">
        <f t="shared" si="0"/>
        <v>47.637529714463085</v>
      </c>
      <c r="F39" s="30">
        <f t="shared" si="1"/>
        <v>-1417948.98</v>
      </c>
    </row>
    <row r="40" spans="1:6" ht="168.75" customHeight="1">
      <c r="A40" s="6" t="s">
        <v>12</v>
      </c>
      <c r="B40" s="7" t="s">
        <v>90</v>
      </c>
      <c r="C40" s="35">
        <f>C41+C44+C47</f>
        <v>2707948.98</v>
      </c>
      <c r="D40" s="35">
        <f>D41+D44+D47</f>
        <v>1290000</v>
      </c>
      <c r="E40" s="31">
        <f t="shared" si="0"/>
        <v>47.637529714463085</v>
      </c>
      <c r="F40" s="31">
        <f t="shared" si="1"/>
        <v>-1417948.98</v>
      </c>
    </row>
    <row r="41" spans="1:6" ht="131.25" customHeight="1">
      <c r="A41" s="6" t="s">
        <v>14</v>
      </c>
      <c r="B41" s="7" t="s">
        <v>8</v>
      </c>
      <c r="C41" s="35">
        <f>C42</f>
        <v>700000</v>
      </c>
      <c r="D41" s="35">
        <f>D42</f>
        <v>700000</v>
      </c>
      <c r="E41" s="31">
        <f t="shared" si="0"/>
        <v>100</v>
      </c>
      <c r="F41" s="31">
        <f t="shared" si="1"/>
        <v>0</v>
      </c>
    </row>
    <row r="42" spans="1:6" ht="150.75" customHeight="1">
      <c r="A42" s="6" t="s">
        <v>58</v>
      </c>
      <c r="B42" s="17" t="s">
        <v>76</v>
      </c>
      <c r="C42" s="31">
        <f>C43</f>
        <v>700000</v>
      </c>
      <c r="D42" s="31">
        <f>D43</f>
        <v>700000</v>
      </c>
      <c r="E42" s="31">
        <f t="shared" si="0"/>
        <v>100</v>
      </c>
      <c r="F42" s="31">
        <f t="shared" si="1"/>
        <v>0</v>
      </c>
    </row>
    <row r="43" spans="1:6" ht="150.75" customHeight="1">
      <c r="A43" s="6" t="s">
        <v>25</v>
      </c>
      <c r="B43" s="17" t="s">
        <v>77</v>
      </c>
      <c r="C43" s="39">
        <f>700000</f>
        <v>700000</v>
      </c>
      <c r="D43" s="38">
        <f>700000</f>
        <v>700000</v>
      </c>
      <c r="E43" s="31">
        <f t="shared" si="0"/>
        <v>100</v>
      </c>
      <c r="F43" s="31">
        <f t="shared" si="1"/>
        <v>0</v>
      </c>
    </row>
    <row r="44" spans="1:6" ht="152.25" customHeight="1">
      <c r="A44" s="15" t="s">
        <v>61</v>
      </c>
      <c r="B44" s="7" t="s">
        <v>78</v>
      </c>
      <c r="C44" s="35">
        <f>C45</f>
        <v>90000</v>
      </c>
      <c r="D44" s="35">
        <f>D45</f>
        <v>90000</v>
      </c>
      <c r="E44" s="31">
        <f t="shared" si="0"/>
        <v>100</v>
      </c>
      <c r="F44" s="31">
        <f t="shared" si="1"/>
        <v>0</v>
      </c>
    </row>
    <row r="45" spans="1:6" ht="153" customHeight="1">
      <c r="A45" s="6" t="s">
        <v>57</v>
      </c>
      <c r="B45" s="17" t="s">
        <v>79</v>
      </c>
      <c r="C45" s="35">
        <f>SUM(C46:C46)</f>
        <v>90000</v>
      </c>
      <c r="D45" s="35">
        <f>SUM(D46:D46)</f>
        <v>90000</v>
      </c>
      <c r="E45" s="31">
        <f t="shared" si="0"/>
        <v>100</v>
      </c>
      <c r="F45" s="31">
        <f t="shared" si="1"/>
        <v>0</v>
      </c>
    </row>
    <row r="46" spans="1:6" ht="153.75" customHeight="1">
      <c r="A46" s="6" t="s">
        <v>95</v>
      </c>
      <c r="B46" s="17" t="s">
        <v>80</v>
      </c>
      <c r="C46" s="35">
        <f>90000</f>
        <v>90000</v>
      </c>
      <c r="D46" s="35">
        <f>90000</f>
        <v>90000</v>
      </c>
      <c r="E46" s="31">
        <f t="shared" si="0"/>
        <v>100</v>
      </c>
      <c r="F46" s="31">
        <f t="shared" si="1"/>
        <v>0</v>
      </c>
    </row>
    <row r="47" spans="1:6" ht="168" customHeight="1">
      <c r="A47" s="6" t="s">
        <v>15</v>
      </c>
      <c r="B47" s="17" t="s">
        <v>81</v>
      </c>
      <c r="C47" s="35">
        <f>C48</f>
        <v>1917948.98</v>
      </c>
      <c r="D47" s="35">
        <f>D48</f>
        <v>500000</v>
      </c>
      <c r="E47" s="31">
        <f t="shared" si="0"/>
        <v>26.069515154673194</v>
      </c>
      <c r="F47" s="31">
        <f t="shared" si="1"/>
        <v>-1417948.98</v>
      </c>
    </row>
    <row r="48" spans="1:6" ht="132" customHeight="1">
      <c r="A48" s="6" t="s">
        <v>59</v>
      </c>
      <c r="B48" s="7" t="s">
        <v>82</v>
      </c>
      <c r="C48" s="35">
        <f>SUM(C49:C49)</f>
        <v>1917948.98</v>
      </c>
      <c r="D48" s="35">
        <f>D49</f>
        <v>500000</v>
      </c>
      <c r="E48" s="31">
        <f t="shared" si="0"/>
        <v>26.069515154673194</v>
      </c>
      <c r="F48" s="31">
        <f t="shared" si="1"/>
        <v>-1417948.98</v>
      </c>
    </row>
    <row r="49" spans="1:6" ht="131.25" customHeight="1">
      <c r="A49" s="6" t="s">
        <v>96</v>
      </c>
      <c r="B49" s="7" t="s">
        <v>83</v>
      </c>
      <c r="C49" s="33">
        <f>1917948.98</f>
        <v>1917948.98</v>
      </c>
      <c r="D49" s="35">
        <f>500000</f>
        <v>500000</v>
      </c>
      <c r="E49" s="31">
        <f t="shared" si="0"/>
        <v>26.069515154673194</v>
      </c>
      <c r="F49" s="31">
        <f t="shared" si="1"/>
        <v>-1417948.98</v>
      </c>
    </row>
    <row r="50" spans="1:6" s="5" customFormat="1" ht="57" customHeight="1">
      <c r="A50" s="10" t="s">
        <v>66</v>
      </c>
      <c r="B50" s="13" t="s">
        <v>84</v>
      </c>
      <c r="C50" s="36">
        <f>C55+C51</f>
        <v>1169688.96</v>
      </c>
      <c r="D50" s="36">
        <f>D55+D51</f>
        <v>100000</v>
      </c>
      <c r="E50" s="30">
        <f t="shared" si="0"/>
        <v>8.549281340571087</v>
      </c>
      <c r="F50" s="30">
        <f t="shared" si="1"/>
        <v>-1069688.96</v>
      </c>
    </row>
    <row r="51" spans="1:6" ht="153" customHeight="1">
      <c r="A51" s="6" t="s">
        <v>97</v>
      </c>
      <c r="B51" s="26" t="s">
        <v>98</v>
      </c>
      <c r="C51" s="35">
        <f>C52</f>
        <v>1000160</v>
      </c>
      <c r="D51" s="35">
        <f>D52</f>
        <v>0</v>
      </c>
      <c r="E51" s="31">
        <f t="shared" si="0"/>
        <v>0</v>
      </c>
      <c r="F51" s="31">
        <f t="shared" si="1"/>
        <v>-1000160</v>
      </c>
    </row>
    <row r="52" spans="1:6" ht="169.5" customHeight="1">
      <c r="A52" s="6" t="s">
        <v>99</v>
      </c>
      <c r="B52" s="26" t="s">
        <v>100</v>
      </c>
      <c r="C52" s="35">
        <f>C53</f>
        <v>1000160</v>
      </c>
      <c r="D52" s="35">
        <f>D53</f>
        <v>0</v>
      </c>
      <c r="E52" s="31">
        <f t="shared" si="0"/>
        <v>0</v>
      </c>
      <c r="F52" s="31">
        <f t="shared" si="1"/>
        <v>-1000160</v>
      </c>
    </row>
    <row r="53" spans="1:6" ht="189" customHeight="1">
      <c r="A53" s="6" t="s">
        <v>101</v>
      </c>
      <c r="B53" s="26" t="s">
        <v>102</v>
      </c>
      <c r="C53" s="35">
        <f>SUM(C54:C54)</f>
        <v>1000160</v>
      </c>
      <c r="D53" s="35">
        <f>SUM(D54:D54)</f>
        <v>0</v>
      </c>
      <c r="E53" s="31">
        <f t="shared" si="0"/>
        <v>0</v>
      </c>
      <c r="F53" s="31">
        <f t="shared" si="1"/>
        <v>-1000160</v>
      </c>
    </row>
    <row r="54" spans="1:6" ht="188.25" customHeight="1">
      <c r="A54" s="6" t="s">
        <v>103</v>
      </c>
      <c r="B54" s="26" t="s">
        <v>102</v>
      </c>
      <c r="C54" s="35">
        <f>1000160</f>
        <v>1000160</v>
      </c>
      <c r="D54" s="35">
        <f>0</f>
        <v>0</v>
      </c>
      <c r="E54" s="31">
        <f t="shared" si="0"/>
        <v>0</v>
      </c>
      <c r="F54" s="31">
        <f t="shared" si="1"/>
        <v>-1000160</v>
      </c>
    </row>
    <row r="55" spans="1:6" ht="75" customHeight="1">
      <c r="A55" s="6" t="s">
        <v>67</v>
      </c>
      <c r="B55" s="7" t="s">
        <v>85</v>
      </c>
      <c r="C55" s="35">
        <f aca="true" t="shared" si="3" ref="C55:D57">C56</f>
        <v>169528.96</v>
      </c>
      <c r="D55" s="35">
        <f t="shared" si="3"/>
        <v>100000</v>
      </c>
      <c r="E55" s="31">
        <f t="shared" si="0"/>
        <v>58.98697190143797</v>
      </c>
      <c r="F55" s="31">
        <f t="shared" si="1"/>
        <v>-69528.95999999999</v>
      </c>
    </row>
    <row r="56" spans="1:6" ht="75.75" customHeight="1">
      <c r="A56" s="6" t="s">
        <v>68</v>
      </c>
      <c r="B56" s="20" t="s">
        <v>86</v>
      </c>
      <c r="C56" s="35">
        <f t="shared" si="3"/>
        <v>169528.96</v>
      </c>
      <c r="D56" s="35">
        <f t="shared" si="3"/>
        <v>100000</v>
      </c>
      <c r="E56" s="31">
        <f t="shared" si="0"/>
        <v>58.98697190143797</v>
      </c>
      <c r="F56" s="31">
        <f t="shared" si="1"/>
        <v>-69528.95999999999</v>
      </c>
    </row>
    <row r="57" spans="1:6" ht="96.75" customHeight="1">
      <c r="A57" s="6" t="s">
        <v>69</v>
      </c>
      <c r="B57" s="7" t="s">
        <v>91</v>
      </c>
      <c r="C57" s="35">
        <f t="shared" si="3"/>
        <v>169528.96</v>
      </c>
      <c r="D57" s="35">
        <f t="shared" si="3"/>
        <v>100000</v>
      </c>
      <c r="E57" s="31">
        <f t="shared" si="0"/>
        <v>58.98697190143797</v>
      </c>
      <c r="F57" s="31">
        <f t="shared" si="1"/>
        <v>-69528.95999999999</v>
      </c>
    </row>
    <row r="58" spans="1:6" ht="93" customHeight="1">
      <c r="A58" s="44" t="s">
        <v>70</v>
      </c>
      <c r="B58" s="45" t="s">
        <v>87</v>
      </c>
      <c r="C58" s="39">
        <f>169528.96</f>
        <v>169528.96</v>
      </c>
      <c r="D58" s="46">
        <f>100000</f>
        <v>100000</v>
      </c>
      <c r="E58" s="47">
        <f t="shared" si="0"/>
        <v>58.98697190143797</v>
      </c>
      <c r="F58" s="47">
        <f t="shared" si="1"/>
        <v>-69528.95999999999</v>
      </c>
    </row>
    <row r="59" spans="1:6" s="5" customFormat="1" ht="36.75" customHeight="1">
      <c r="A59" s="10" t="s">
        <v>141</v>
      </c>
      <c r="B59" s="11" t="s">
        <v>142</v>
      </c>
      <c r="C59" s="40">
        <f aca="true" t="shared" si="4" ref="C59:D61">C60</f>
        <v>500</v>
      </c>
      <c r="D59" s="40">
        <f t="shared" si="4"/>
        <v>0</v>
      </c>
      <c r="E59" s="48">
        <f t="shared" si="0"/>
        <v>0</v>
      </c>
      <c r="F59" s="48">
        <f t="shared" si="1"/>
        <v>-500</v>
      </c>
    </row>
    <row r="60" spans="1:6" ht="55.5" customHeight="1">
      <c r="A60" s="6" t="s">
        <v>143</v>
      </c>
      <c r="B60" s="7" t="s">
        <v>144</v>
      </c>
      <c r="C60" s="33">
        <f t="shared" si="4"/>
        <v>500</v>
      </c>
      <c r="D60" s="33">
        <f t="shared" si="4"/>
        <v>0</v>
      </c>
      <c r="E60" s="47">
        <f t="shared" si="0"/>
        <v>0</v>
      </c>
      <c r="F60" s="47">
        <f t="shared" si="1"/>
        <v>-500</v>
      </c>
    </row>
    <row r="61" spans="1:6" ht="76.5" customHeight="1">
      <c r="A61" s="6" t="s">
        <v>145</v>
      </c>
      <c r="B61" s="7" t="s">
        <v>146</v>
      </c>
      <c r="C61" s="33">
        <f t="shared" si="4"/>
        <v>500</v>
      </c>
      <c r="D61" s="33">
        <f t="shared" si="4"/>
        <v>0</v>
      </c>
      <c r="E61" s="47">
        <f t="shared" si="0"/>
        <v>0</v>
      </c>
      <c r="F61" s="47">
        <f t="shared" si="1"/>
        <v>-500</v>
      </c>
    </row>
    <row r="62" spans="1:6" ht="74.25" customHeight="1">
      <c r="A62" s="6" t="s">
        <v>147</v>
      </c>
      <c r="B62" s="7" t="s">
        <v>146</v>
      </c>
      <c r="C62" s="33">
        <f>500</f>
        <v>500</v>
      </c>
      <c r="D62" s="35">
        <f>0</f>
        <v>0</v>
      </c>
      <c r="E62" s="47">
        <f t="shared" si="0"/>
        <v>0</v>
      </c>
      <c r="F62" s="47">
        <f t="shared" si="1"/>
        <v>-500</v>
      </c>
    </row>
    <row r="63" spans="1:6" s="29" customFormat="1" ht="23.25" customHeight="1">
      <c r="A63" s="27" t="s">
        <v>13</v>
      </c>
      <c r="B63" s="28" t="s">
        <v>88</v>
      </c>
      <c r="C63" s="36">
        <f>C64+C92</f>
        <v>42656403.300000004</v>
      </c>
      <c r="D63" s="36">
        <f>D64+D92</f>
        <v>29370813</v>
      </c>
      <c r="E63" s="30">
        <f t="shared" si="0"/>
        <v>68.85440573467196</v>
      </c>
      <c r="F63" s="30">
        <f t="shared" si="1"/>
        <v>-13285590.300000004</v>
      </c>
    </row>
    <row r="64" spans="1:6" s="5" customFormat="1" ht="75" customHeight="1">
      <c r="A64" s="10" t="s">
        <v>17</v>
      </c>
      <c r="B64" s="12" t="s">
        <v>89</v>
      </c>
      <c r="C64" s="41">
        <f>C65+C72+C88</f>
        <v>43215401.78</v>
      </c>
      <c r="D64" s="41">
        <f>D65+D72+D88</f>
        <v>29370813</v>
      </c>
      <c r="E64" s="30">
        <f t="shared" si="0"/>
        <v>67.96376243247784</v>
      </c>
      <c r="F64" s="30">
        <f t="shared" si="1"/>
        <v>-13844588.780000001</v>
      </c>
    </row>
    <row r="65" spans="1:6" ht="37.5" customHeight="1">
      <c r="A65" s="49" t="s">
        <v>163</v>
      </c>
      <c r="B65" s="7" t="s">
        <v>122</v>
      </c>
      <c r="C65" s="42">
        <f>C66+C69</f>
        <v>23043100</v>
      </c>
      <c r="D65" s="42">
        <f>D66+D69</f>
        <v>23646590</v>
      </c>
      <c r="E65" s="31">
        <f t="shared" si="0"/>
        <v>102.61896185843051</v>
      </c>
      <c r="F65" s="31">
        <f t="shared" si="1"/>
        <v>603490</v>
      </c>
    </row>
    <row r="66" spans="1:6" ht="39" customHeight="1">
      <c r="A66" s="49" t="s">
        <v>164</v>
      </c>
      <c r="B66" s="7" t="s">
        <v>123</v>
      </c>
      <c r="C66" s="42">
        <f>C67</f>
        <v>21728700</v>
      </c>
      <c r="D66" s="42">
        <f>D67</f>
        <v>22060000</v>
      </c>
      <c r="E66" s="31">
        <f t="shared" si="0"/>
        <v>101.52471155660486</v>
      </c>
      <c r="F66" s="31">
        <f t="shared" si="1"/>
        <v>331300</v>
      </c>
    </row>
    <row r="67" spans="1:6" ht="56.25" customHeight="1">
      <c r="A67" s="49" t="s">
        <v>165</v>
      </c>
      <c r="B67" s="7" t="s">
        <v>124</v>
      </c>
      <c r="C67" s="31">
        <f>C68</f>
        <v>21728700</v>
      </c>
      <c r="D67" s="31">
        <f>D68</f>
        <v>22060000</v>
      </c>
      <c r="E67" s="31">
        <f t="shared" si="0"/>
        <v>101.52471155660486</v>
      </c>
      <c r="F67" s="31">
        <f t="shared" si="1"/>
        <v>331300</v>
      </c>
    </row>
    <row r="68" spans="1:6" ht="55.5" customHeight="1">
      <c r="A68" s="49" t="s">
        <v>166</v>
      </c>
      <c r="B68" s="7" t="s">
        <v>124</v>
      </c>
      <c r="C68" s="33">
        <f>21728700</f>
        <v>21728700</v>
      </c>
      <c r="D68" s="33">
        <f>22060000</f>
        <v>22060000</v>
      </c>
      <c r="E68" s="31">
        <f t="shared" si="0"/>
        <v>101.52471155660486</v>
      </c>
      <c r="F68" s="31">
        <f t="shared" si="1"/>
        <v>331300</v>
      </c>
    </row>
    <row r="69" spans="1:6" ht="55.5" customHeight="1">
      <c r="A69" s="49" t="s">
        <v>167</v>
      </c>
      <c r="B69" s="22" t="s">
        <v>125</v>
      </c>
      <c r="C69" s="33">
        <f>C70</f>
        <v>1314400</v>
      </c>
      <c r="D69" s="33">
        <f>D70</f>
        <v>1586590</v>
      </c>
      <c r="E69" s="31">
        <f t="shared" si="0"/>
        <v>120.70830797321972</v>
      </c>
      <c r="F69" s="31">
        <f t="shared" si="1"/>
        <v>272190</v>
      </c>
    </row>
    <row r="70" spans="1:6" ht="74.25" customHeight="1">
      <c r="A70" s="49" t="s">
        <v>168</v>
      </c>
      <c r="B70" s="17" t="s">
        <v>126</v>
      </c>
      <c r="C70" s="33">
        <f>C71</f>
        <v>1314400</v>
      </c>
      <c r="D70" s="33">
        <f>D71</f>
        <v>1586590</v>
      </c>
      <c r="E70" s="31">
        <f t="shared" si="0"/>
        <v>120.70830797321972</v>
      </c>
      <c r="F70" s="31">
        <f t="shared" si="1"/>
        <v>272190</v>
      </c>
    </row>
    <row r="71" spans="1:6" ht="75" customHeight="1">
      <c r="A71" s="49" t="s">
        <v>169</v>
      </c>
      <c r="B71" s="23" t="s">
        <v>127</v>
      </c>
      <c r="C71" s="33">
        <f>1314400</f>
        <v>1314400</v>
      </c>
      <c r="D71" s="33">
        <f>1586590</f>
        <v>1586590</v>
      </c>
      <c r="E71" s="31">
        <f t="shared" si="0"/>
        <v>120.70830797321972</v>
      </c>
      <c r="F71" s="31">
        <f t="shared" si="1"/>
        <v>272190</v>
      </c>
    </row>
    <row r="72" spans="1:6" ht="56.25" customHeight="1">
      <c r="A72" s="50" t="s">
        <v>170</v>
      </c>
      <c r="B72" s="7" t="s">
        <v>128</v>
      </c>
      <c r="C72" s="33">
        <f>C73+C76+C79+C82+C85</f>
        <v>20147771.21</v>
      </c>
      <c r="D72" s="33">
        <f>D73+D79+D82+D85+D76</f>
        <v>5721151</v>
      </c>
      <c r="E72" s="31">
        <f t="shared" si="0"/>
        <v>28.39594980689678</v>
      </c>
      <c r="F72" s="31">
        <f t="shared" si="1"/>
        <v>-14426620.21</v>
      </c>
    </row>
    <row r="73" spans="1:6" ht="168.75">
      <c r="A73" s="6" t="s">
        <v>104</v>
      </c>
      <c r="B73" s="26" t="s">
        <v>105</v>
      </c>
      <c r="C73" s="33">
        <f>C74</f>
        <v>3000000</v>
      </c>
      <c r="D73" s="33">
        <f>D74</f>
        <v>0</v>
      </c>
      <c r="E73" s="31">
        <f t="shared" si="0"/>
        <v>0</v>
      </c>
      <c r="F73" s="31">
        <f t="shared" si="1"/>
        <v>-3000000</v>
      </c>
    </row>
    <row r="74" spans="1:6" ht="187.5">
      <c r="A74" s="6" t="s">
        <v>106</v>
      </c>
      <c r="B74" s="26" t="s">
        <v>107</v>
      </c>
      <c r="C74" s="33">
        <f>C75</f>
        <v>3000000</v>
      </c>
      <c r="D74" s="33">
        <f>D75</f>
        <v>0</v>
      </c>
      <c r="E74" s="31">
        <f t="shared" si="0"/>
        <v>0</v>
      </c>
      <c r="F74" s="31">
        <f t="shared" si="1"/>
        <v>-3000000</v>
      </c>
    </row>
    <row r="75" spans="1:6" ht="187.5">
      <c r="A75" s="6" t="s">
        <v>108</v>
      </c>
      <c r="B75" s="26" t="s">
        <v>109</v>
      </c>
      <c r="C75" s="33">
        <f>3000000</f>
        <v>3000000</v>
      </c>
      <c r="D75" s="33">
        <f>0</f>
        <v>0</v>
      </c>
      <c r="E75" s="31">
        <f t="shared" si="0"/>
        <v>0</v>
      </c>
      <c r="F75" s="31">
        <f t="shared" si="1"/>
        <v>-3000000</v>
      </c>
    </row>
    <row r="76" spans="1:6" ht="60.75" customHeight="1">
      <c r="A76" s="6" t="s">
        <v>155</v>
      </c>
      <c r="B76" s="26" t="s">
        <v>156</v>
      </c>
      <c r="C76" s="33">
        <f>C77</f>
        <v>836522.19</v>
      </c>
      <c r="D76" s="33">
        <f>D77</f>
        <v>0</v>
      </c>
      <c r="E76" s="31"/>
      <c r="F76" s="31">
        <f t="shared" si="1"/>
        <v>-836522.19</v>
      </c>
    </row>
    <row r="77" spans="1:6" ht="54.75" customHeight="1">
      <c r="A77" s="6" t="s">
        <v>157</v>
      </c>
      <c r="B77" s="26" t="s">
        <v>158</v>
      </c>
      <c r="C77" s="33">
        <f>C78</f>
        <v>836522.19</v>
      </c>
      <c r="D77" s="33">
        <f>D78</f>
        <v>0</v>
      </c>
      <c r="E77" s="31"/>
      <c r="F77" s="31">
        <f t="shared" si="1"/>
        <v>-836522.19</v>
      </c>
    </row>
    <row r="78" spans="1:6" ht="56.25" customHeight="1">
      <c r="A78" s="6" t="s">
        <v>159</v>
      </c>
      <c r="B78" s="26" t="s">
        <v>158</v>
      </c>
      <c r="C78" s="33">
        <f>836522.19</f>
        <v>836522.19</v>
      </c>
      <c r="D78" s="33">
        <f>0</f>
        <v>0</v>
      </c>
      <c r="E78" s="31"/>
      <c r="F78" s="31">
        <f t="shared" si="1"/>
        <v>-836522.19</v>
      </c>
    </row>
    <row r="79" spans="1:6" ht="131.25">
      <c r="A79" s="6" t="s">
        <v>110</v>
      </c>
      <c r="B79" s="26" t="s">
        <v>111</v>
      </c>
      <c r="C79" s="33">
        <f>C80</f>
        <v>1710000</v>
      </c>
      <c r="D79" s="33">
        <f>D80</f>
        <v>0</v>
      </c>
      <c r="E79" s="31">
        <f t="shared" si="0"/>
        <v>0</v>
      </c>
      <c r="F79" s="31">
        <f t="shared" si="1"/>
        <v>-1710000</v>
      </c>
    </row>
    <row r="80" spans="1:6" ht="150">
      <c r="A80" s="6" t="s">
        <v>112</v>
      </c>
      <c r="B80" s="26" t="s">
        <v>113</v>
      </c>
      <c r="C80" s="33">
        <f>C81</f>
        <v>1710000</v>
      </c>
      <c r="D80" s="33">
        <f>D81</f>
        <v>0</v>
      </c>
      <c r="E80" s="31">
        <f t="shared" si="0"/>
        <v>0</v>
      </c>
      <c r="F80" s="31">
        <f t="shared" si="1"/>
        <v>-1710000</v>
      </c>
    </row>
    <row r="81" spans="1:6" ht="150">
      <c r="A81" s="6" t="s">
        <v>114</v>
      </c>
      <c r="B81" s="26" t="s">
        <v>113</v>
      </c>
      <c r="C81" s="33">
        <f>1710000</f>
        <v>1710000</v>
      </c>
      <c r="D81" s="33">
        <f>0</f>
        <v>0</v>
      </c>
      <c r="E81" s="31">
        <f t="shared" si="0"/>
        <v>0</v>
      </c>
      <c r="F81" s="31">
        <f t="shared" si="1"/>
        <v>-1710000</v>
      </c>
    </row>
    <row r="82" spans="1:6" ht="112.5">
      <c r="A82" s="6" t="s">
        <v>115</v>
      </c>
      <c r="B82" s="26" t="s">
        <v>116</v>
      </c>
      <c r="C82" s="33">
        <f>C83</f>
        <v>3676541.02</v>
      </c>
      <c r="D82" s="33">
        <f>D83</f>
        <v>0</v>
      </c>
      <c r="E82" s="31">
        <f t="shared" si="0"/>
        <v>0</v>
      </c>
      <c r="F82" s="31">
        <f t="shared" si="1"/>
        <v>-3676541.02</v>
      </c>
    </row>
    <row r="83" spans="1:6" ht="131.25">
      <c r="A83" s="6" t="s">
        <v>117</v>
      </c>
      <c r="B83" s="26" t="s">
        <v>118</v>
      </c>
      <c r="C83" s="33">
        <f>C84</f>
        <v>3676541.02</v>
      </c>
      <c r="D83" s="33">
        <f>D84</f>
        <v>0</v>
      </c>
      <c r="E83" s="31">
        <f t="shared" si="0"/>
        <v>0</v>
      </c>
      <c r="F83" s="31">
        <f t="shared" si="1"/>
        <v>-3676541.02</v>
      </c>
    </row>
    <row r="84" spans="1:6" ht="131.25">
      <c r="A84" s="6" t="s">
        <v>119</v>
      </c>
      <c r="B84" s="26" t="s">
        <v>118</v>
      </c>
      <c r="C84" s="33">
        <f>3676541.02</f>
        <v>3676541.02</v>
      </c>
      <c r="D84" s="33">
        <f>0</f>
        <v>0</v>
      </c>
      <c r="E84" s="31">
        <f t="shared" si="0"/>
        <v>0</v>
      </c>
      <c r="F84" s="31">
        <f t="shared" si="1"/>
        <v>-3676541.02</v>
      </c>
    </row>
    <row r="85" spans="1:6" ht="37.5" customHeight="1">
      <c r="A85" s="49" t="s">
        <v>171</v>
      </c>
      <c r="B85" s="7" t="s">
        <v>120</v>
      </c>
      <c r="C85" s="43">
        <f>C86</f>
        <v>10924708</v>
      </c>
      <c r="D85" s="43">
        <f>D86</f>
        <v>5721151</v>
      </c>
      <c r="E85" s="31">
        <f t="shared" si="0"/>
        <v>52.368914574192736</v>
      </c>
      <c r="F85" s="31">
        <f t="shared" si="1"/>
        <v>-5203557</v>
      </c>
    </row>
    <row r="86" spans="1:6" ht="38.25" customHeight="1">
      <c r="A86" s="49" t="s">
        <v>172</v>
      </c>
      <c r="B86" s="7" t="s">
        <v>121</v>
      </c>
      <c r="C86" s="43">
        <f>C87</f>
        <v>10924708</v>
      </c>
      <c r="D86" s="43">
        <f>D87</f>
        <v>5721151</v>
      </c>
      <c r="E86" s="31">
        <f t="shared" si="0"/>
        <v>52.368914574192736</v>
      </c>
      <c r="F86" s="31">
        <f t="shared" si="1"/>
        <v>-5203557</v>
      </c>
    </row>
    <row r="87" spans="1:6" ht="38.25" customHeight="1">
      <c r="A87" s="49" t="s">
        <v>173</v>
      </c>
      <c r="B87" s="7" t="s">
        <v>121</v>
      </c>
      <c r="C87" s="43">
        <f>10924708</f>
        <v>10924708</v>
      </c>
      <c r="D87" s="33">
        <f>5721151</f>
        <v>5721151</v>
      </c>
      <c r="E87" s="31">
        <f t="shared" si="0"/>
        <v>52.368914574192736</v>
      </c>
      <c r="F87" s="31">
        <f t="shared" si="1"/>
        <v>-5203557</v>
      </c>
    </row>
    <row r="88" spans="1:6" ht="37.5">
      <c r="A88" s="49" t="s">
        <v>174</v>
      </c>
      <c r="B88" s="7" t="s">
        <v>160</v>
      </c>
      <c r="C88" s="33">
        <f aca="true" t="shared" si="5" ref="C88:D90">C89</f>
        <v>24530.57</v>
      </c>
      <c r="D88" s="33">
        <f t="shared" si="5"/>
        <v>3072</v>
      </c>
      <c r="E88" s="31">
        <f aca="true" t="shared" si="6" ref="E88:E96">D88/C88*100</f>
        <v>12.523149686289392</v>
      </c>
      <c r="F88" s="31">
        <f t="shared" si="1"/>
        <v>-21458.57</v>
      </c>
    </row>
    <row r="89" spans="1:6" ht="111.75" customHeight="1">
      <c r="A89" s="49" t="s">
        <v>175</v>
      </c>
      <c r="B89" s="7" t="s">
        <v>161</v>
      </c>
      <c r="C89" s="33">
        <f t="shared" si="5"/>
        <v>24530.57</v>
      </c>
      <c r="D89" s="33">
        <f t="shared" si="5"/>
        <v>3072</v>
      </c>
      <c r="E89" s="31">
        <f t="shared" si="6"/>
        <v>12.523149686289392</v>
      </c>
      <c r="F89" s="31">
        <f t="shared" si="1"/>
        <v>-21458.57</v>
      </c>
    </row>
    <row r="90" spans="1:6" ht="131.25" customHeight="1">
      <c r="A90" s="49" t="s">
        <v>176</v>
      </c>
      <c r="B90" s="7" t="s">
        <v>162</v>
      </c>
      <c r="C90" s="35">
        <f t="shared" si="5"/>
        <v>24530.57</v>
      </c>
      <c r="D90" s="35">
        <f t="shared" si="5"/>
        <v>3072</v>
      </c>
      <c r="E90" s="31">
        <f t="shared" si="6"/>
        <v>12.523149686289392</v>
      </c>
      <c r="F90" s="31">
        <f t="shared" si="1"/>
        <v>-21458.57</v>
      </c>
    </row>
    <row r="91" spans="1:6" ht="132.75" customHeight="1">
      <c r="A91" s="49" t="s">
        <v>177</v>
      </c>
      <c r="B91" s="7" t="s">
        <v>162</v>
      </c>
      <c r="C91" s="35">
        <f>24530.57</f>
        <v>24530.57</v>
      </c>
      <c r="D91" s="31">
        <f>3072</f>
        <v>3072</v>
      </c>
      <c r="E91" s="31">
        <f t="shared" si="6"/>
        <v>12.523149686289392</v>
      </c>
      <c r="F91" s="31">
        <f t="shared" si="1"/>
        <v>-21458.57</v>
      </c>
    </row>
    <row r="92" spans="1:6" s="5" customFormat="1" ht="114" customHeight="1">
      <c r="A92" s="10" t="s">
        <v>148</v>
      </c>
      <c r="B92" s="11" t="s">
        <v>149</v>
      </c>
      <c r="C92" s="36">
        <f aca="true" t="shared" si="7" ref="C92:D94">C93</f>
        <v>-558998.48</v>
      </c>
      <c r="D92" s="36">
        <f t="shared" si="7"/>
        <v>0</v>
      </c>
      <c r="E92" s="30">
        <f t="shared" si="6"/>
        <v>0</v>
      </c>
      <c r="F92" s="30">
        <f t="shared" si="1"/>
        <v>558998.48</v>
      </c>
    </row>
    <row r="93" spans="1:6" ht="75.75" customHeight="1">
      <c r="A93" s="6" t="s">
        <v>150</v>
      </c>
      <c r="B93" s="7" t="s">
        <v>151</v>
      </c>
      <c r="C93" s="35">
        <f t="shared" si="7"/>
        <v>-558998.48</v>
      </c>
      <c r="D93" s="35">
        <f t="shared" si="7"/>
        <v>0</v>
      </c>
      <c r="E93" s="31">
        <f t="shared" si="6"/>
        <v>0</v>
      </c>
      <c r="F93" s="31">
        <f>D93-C93</f>
        <v>558998.48</v>
      </c>
    </row>
    <row r="94" spans="1:6" ht="92.25" customHeight="1">
      <c r="A94" s="6" t="s">
        <v>152</v>
      </c>
      <c r="B94" s="7" t="s">
        <v>153</v>
      </c>
      <c r="C94" s="35">
        <f t="shared" si="7"/>
        <v>-558998.48</v>
      </c>
      <c r="D94" s="35">
        <f t="shared" si="7"/>
        <v>0</v>
      </c>
      <c r="E94" s="31">
        <f t="shared" si="6"/>
        <v>0</v>
      </c>
      <c r="F94" s="31">
        <f>D94-C94</f>
        <v>558998.48</v>
      </c>
    </row>
    <row r="95" spans="1:6" ht="93.75" customHeight="1">
      <c r="A95" s="6" t="s">
        <v>154</v>
      </c>
      <c r="B95" s="7" t="s">
        <v>153</v>
      </c>
      <c r="C95" s="35">
        <f>-558998.48</f>
        <v>-558998.48</v>
      </c>
      <c r="D95" s="31">
        <f>0</f>
        <v>0</v>
      </c>
      <c r="E95" s="31">
        <f t="shared" si="6"/>
        <v>0</v>
      </c>
      <c r="F95" s="31">
        <f>D95-C95</f>
        <v>558998.48</v>
      </c>
    </row>
    <row r="96" spans="1:6" s="5" customFormat="1" ht="18.75">
      <c r="A96" s="51" t="s">
        <v>93</v>
      </c>
      <c r="B96" s="52"/>
      <c r="C96" s="24">
        <f>C63+C5</f>
        <v>82772407.24000001</v>
      </c>
      <c r="D96" s="24">
        <f>D63+D5</f>
        <v>71158698.37</v>
      </c>
      <c r="E96" s="14">
        <f t="shared" si="6"/>
        <v>85.96910582010034</v>
      </c>
      <c r="F96" s="14">
        <f>D96-C96</f>
        <v>-11613708.870000005</v>
      </c>
    </row>
    <row r="97" ht="18.75">
      <c r="D97" s="8"/>
    </row>
    <row r="98" spans="1:6" ht="33.75" customHeight="1">
      <c r="A98" s="58" t="s">
        <v>178</v>
      </c>
      <c r="B98" s="58"/>
      <c r="C98" s="58"/>
      <c r="D98" s="58"/>
      <c r="E98" s="58"/>
      <c r="F98" s="58"/>
    </row>
    <row r="99" ht="18.75">
      <c r="D99" s="8"/>
    </row>
  </sheetData>
  <sheetProtection/>
  <mergeCells count="8">
    <mergeCell ref="A98:F98"/>
    <mergeCell ref="A96:B96"/>
    <mergeCell ref="A2:A3"/>
    <mergeCell ref="B2:B3"/>
    <mergeCell ref="A1:F1"/>
    <mergeCell ref="C2:C3"/>
    <mergeCell ref="D2:D3"/>
    <mergeCell ref="E2:F2"/>
  </mergeCells>
  <printOptions/>
  <pageMargins left="1.062992125984252" right="0.3937007874015748" top="0.7874015748031497" bottom="0.7874015748031497" header="0.31496062992125984" footer="0.31496062992125984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Жирякова</cp:lastModifiedBy>
  <cp:lastPrinted>2016-12-13T08:12:59Z</cp:lastPrinted>
  <dcterms:created xsi:type="dcterms:W3CDTF">2009-08-21T08:27:43Z</dcterms:created>
  <dcterms:modified xsi:type="dcterms:W3CDTF">2018-11-12T12:37:42Z</dcterms:modified>
  <cp:category/>
  <cp:version/>
  <cp:contentType/>
  <cp:contentStatus/>
</cp:coreProperties>
</file>