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1303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2">'Источники'!$A$1:$F$5</definedName>
    <definedName name="_xlnm.Print_Area" localSheetId="1">'Расходы'!$A$1:$F$45</definedName>
  </definedNames>
  <calcPr fullCalcOnLoad="1"/>
</workbook>
</file>

<file path=xl/sharedStrings.xml><?xml version="1.0" encoding="utf-8"?>
<sst xmlns="http://schemas.openxmlformats.org/spreadsheetml/2006/main" count="158" uniqueCount="153">
  <si>
    <t>Общегосударственные вопросы</t>
  </si>
  <si>
    <t>Резервные фонды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</si>
  <si>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</si>
  <si>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</si>
  <si>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</si>
  <si>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</si>
  <si>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</si>
  <si>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</si>
  <si>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Культура</t>
  </si>
  <si>
    <t>Здравоохранение  и спорт</t>
  </si>
  <si>
    <t>Социальная политика</t>
  </si>
  <si>
    <t>Пенсионное обеспечение</t>
  </si>
  <si>
    <t>Социальное обеспечение населения</t>
  </si>
  <si>
    <t>0100</t>
  </si>
  <si>
    <t>0102</t>
  </si>
  <si>
    <t>0103</t>
  </si>
  <si>
    <t>0300</t>
  </si>
  <si>
    <t>0309</t>
  </si>
  <si>
    <t>0400</t>
  </si>
  <si>
    <t>0500</t>
  </si>
  <si>
    <t>0501</t>
  </si>
  <si>
    <t>0502</t>
  </si>
  <si>
    <t>0700</t>
  </si>
  <si>
    <t>0707</t>
  </si>
  <si>
    <t>0800</t>
  </si>
  <si>
    <t>0801</t>
  </si>
  <si>
    <t>0900</t>
  </si>
  <si>
    <t>0901</t>
  </si>
  <si>
    <t>0902</t>
  </si>
  <si>
    <t>1000</t>
  </si>
  <si>
    <t>1001</t>
  </si>
  <si>
    <t>1003</t>
  </si>
  <si>
    <t>1004</t>
  </si>
  <si>
    <t>0408</t>
  </si>
  <si>
    <t>Транспорт</t>
  </si>
  <si>
    <t>Другие вопросы в области национальной экономики</t>
  </si>
  <si>
    <t>1100</t>
  </si>
  <si>
    <t>0111</t>
  </si>
  <si>
    <t>0412</t>
  </si>
  <si>
    <t>0903</t>
  </si>
  <si>
    <t>0904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</si>
  <si>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</si>
  <si>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</si>
  <si>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</si>
  <si>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</si>
  <si>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Охрана семьи и детства</t>
  </si>
  <si>
    <t>0105</t>
  </si>
  <si>
    <t>Судебная система</t>
  </si>
  <si>
    <t>ИТОГО налоговые доходы</t>
  </si>
  <si>
    <t>Прочие неналоговые доходы</t>
  </si>
  <si>
    <t>ИТОГО неналоговые доходы</t>
  </si>
  <si>
    <t>0113</t>
  </si>
  <si>
    <t xml:space="preserve">0409 </t>
  </si>
  <si>
    <t>Физическая культура и спорт</t>
  </si>
  <si>
    <t>1102</t>
  </si>
  <si>
    <t>Массовый спорт</t>
  </si>
  <si>
    <t>0503</t>
  </si>
  <si>
    <t>Благоустройство</t>
  </si>
  <si>
    <t>000 1 00 00000 00 0000 000</t>
  </si>
  <si>
    <r>
      <t xml:space="preserve">НАЛОГОВЫЕ И НЕНАЛОГОВЫЕ ДОХОДЫ    </t>
    </r>
  </si>
  <si>
    <t xml:space="preserve">Налоги на прибыль, доходы         </t>
  </si>
  <si>
    <t xml:space="preserve">Налоги на совокупный доход                </t>
  </si>
  <si>
    <t>Налоги на имущество</t>
  </si>
  <si>
    <t>000  1 08 00000 00 0000  000</t>
  </si>
  <si>
    <t xml:space="preserve">Государственная пошлина                      </t>
  </si>
  <si>
    <t>000  1 09 00000 00 0000 000</t>
  </si>
  <si>
    <t xml:space="preserve">Задолженность и перерасчеты по отмененным налогам, сборам и иным платежам </t>
  </si>
  <si>
    <t xml:space="preserve">Доходы от использования имущества, находящегося в государственной и муниципальной собственности                             </t>
  </si>
  <si>
    <t>000  1 12 00000 00 0000 000</t>
  </si>
  <si>
    <t xml:space="preserve">Платежи при пользовании природными ресурсами </t>
  </si>
  <si>
    <t xml:space="preserve">Доходы от оказания платных услуг (работ) и компенсации затрат государства                                                                                                                </t>
  </si>
  <si>
    <t>000 1 16 00000 00 0000  000</t>
  </si>
  <si>
    <t xml:space="preserve">Штрафы, санкции, возмещение ущерба                                                                            </t>
  </si>
  <si>
    <t>000 1 17 00000 00 0000 000</t>
  </si>
  <si>
    <t>000 2 00 00000 00 0000 000</t>
  </si>
  <si>
    <r>
      <t xml:space="preserve">БЕЗВОЗМЕЗДНЫЕ ПОСТУПЛЕНИЯ                                 </t>
    </r>
  </si>
  <si>
    <t>000 2 02 00000 00 0000 000</t>
  </si>
  <si>
    <t xml:space="preserve">Иные межбюджетные трансферты                           </t>
  </si>
  <si>
    <t xml:space="preserve"> 000 2 19 00000 00 0000 000</t>
  </si>
  <si>
    <t>4</t>
  </si>
  <si>
    <t>5</t>
  </si>
  <si>
    <t>6</t>
  </si>
  <si>
    <t>7</t>
  </si>
  <si>
    <t>Налоги на товары (работы, услуги), реализуемые на территории Российской Федерации</t>
  </si>
  <si>
    <r>
      <t xml:space="preserve">Субсидии бюджетам бюджетной системы Российской Федерации (межбюджетные субсидии)                                                             </t>
    </r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</si>
  <si>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</si>
  <si>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</si>
  <si>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 xml:space="preserve">Культура, кинематография </t>
  </si>
  <si>
    <t>2. Расходы</t>
  </si>
  <si>
    <t>1. Доходы</t>
  </si>
  <si>
    <t>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</si>
  <si>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</si>
  <si>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Раздел, под-раздел</t>
  </si>
  <si>
    <t xml:space="preserve">Функционирование высшего должностного лица субъекта Российской Федерации и муниципального образования
</t>
  </si>
  <si>
    <t>Другие общегосударственные вопросы</t>
  </si>
  <si>
    <t>0314</t>
  </si>
  <si>
    <t>Другие вопросы в области национальной безопасности и правоохранительной деятельности</t>
  </si>
  <si>
    <t>000 01 05 00 00 00 0000 000</t>
  </si>
  <si>
    <t>Изменение остатков средств на счетах по учету средств бюджетов</t>
  </si>
  <si>
    <t>Источники внутреннего финансирования дефицитов бюджетов, всего</t>
  </si>
  <si>
    <t>Молодежная политика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</si>
  <si>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</si>
  <si>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</si>
  <si>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000 01 00 00 00 00 0000 000</t>
  </si>
  <si>
    <t>000 01 03 00 00 00 0000 000</t>
  </si>
  <si>
    <t>ВСЕГО ДОХОДОВ:</t>
  </si>
  <si>
    <t>ВСЕГО РАСХОДОВ:</t>
  </si>
  <si>
    <t xml:space="preserve">Дотации бюджетам бюджетной системы Российской Федерации            </t>
  </si>
  <si>
    <t>БЕЗВОЗМЕЗДНЫЕ ПОСТУПЛЕНИЯ ОТ ДРУГИХ БЮДЖЕТОВ БЮДЖЕТНОЙ СИСТЕМЫ РОССИЙСКОЙ ФЕДЕРАЦИИ</t>
  </si>
  <si>
    <t>0310</t>
  </si>
  <si>
    <t>000 1 01 00000 00 0000 000</t>
  </si>
  <si>
    <t>000 1 03 00000 00 0000 000</t>
  </si>
  <si>
    <t>000 1 05 00000 00 0000 000</t>
  </si>
  <si>
    <t>000 1 06 00000 00 0000 110</t>
  </si>
  <si>
    <t>000 1 11 00000 00 0000 000</t>
  </si>
  <si>
    <t>000 1 13 00000 00 0000 000</t>
  </si>
  <si>
    <t>000 1 14 00000 00 0000 000</t>
  </si>
  <si>
    <t>Результат исполнения бюджета ("-" дефицит / "+" профицит )</t>
  </si>
  <si>
    <t xml:space="preserve">000 2 02 10000 00 0000 000 </t>
  </si>
  <si>
    <t>000  2 02 20000 00 0000  000</t>
  </si>
  <si>
    <t>000  2 02 30000 00 0000  000</t>
  </si>
  <si>
    <t>000 2 02 40000 00 0000 000</t>
  </si>
  <si>
    <t>Код классификации доходов бюджетов Российской Федерации</t>
  </si>
  <si>
    <t>Наименование доходов</t>
  </si>
  <si>
    <t>3. Источники</t>
  </si>
  <si>
    <t>0505</t>
  </si>
  <si>
    <t>Другие вопросы в области жилищно-коммунального хозяйства</t>
  </si>
  <si>
    <t>0406</t>
  </si>
  <si>
    <t>Водное хозяйство</t>
  </si>
  <si>
    <t>0705</t>
  </si>
  <si>
    <t>Профессиональная подготовка, переподготовка и повышение квалификации</t>
  </si>
  <si>
    <t>000 2 07 00000 00 0000 000</t>
  </si>
  <si>
    <t>Прочие безвозмездные поступления</t>
  </si>
  <si>
    <t>0107</t>
  </si>
  <si>
    <t>Обеспечение проведения выборов и референдумов</t>
  </si>
  <si>
    <r>
      <t xml:space="preserve">Доходы от продажи материальных и нематериальных активов                                                   </t>
    </r>
    <r>
      <rPr>
        <i/>
        <sz val="14"/>
        <rFont val="Times New Roman"/>
        <family val="1"/>
      </rPr>
      <t xml:space="preserve"> </t>
    </r>
  </si>
  <si>
    <r>
      <t xml:space="preserve">Субвенции бюджетам бюджетной системы Российской Федерации            </t>
    </r>
    <r>
      <rPr>
        <i/>
        <sz val="14"/>
        <rFont val="Times New Roman"/>
        <family val="1"/>
      </rPr>
      <t xml:space="preserve">  </t>
    </r>
  </si>
  <si>
    <t xml:space="preserve">Обслуживание государственного (муниципального) долга 
</t>
  </si>
  <si>
    <t>Обслуживание государственного (муниципального) внутреннего долга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</si>
  <si>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</si>
  <si>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</si>
  <si>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</si>
  <si>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</si>
  <si>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Бюджетные кредиты из других бюджетов бюджетной системы Российской Федерации</t>
  </si>
  <si>
    <t>Исполнение бюджета за 2021 год (руб.)</t>
  </si>
  <si>
    <t>Ожидаемое исполнение бюджета Южского городского поселения за 2022 год</t>
  </si>
  <si>
    <t>Утверждено решением о бюджете (с учетом внесённых изменений  до 01.08.2022) (руб.)</t>
  </si>
  <si>
    <t>Исполнение бюджета на 01.08.2022 (руб.)</t>
  </si>
  <si>
    <t>Ожидаемое исполнение бюджета за 2022 год (руб.)</t>
  </si>
  <si>
    <t>Ожидаемое исполнение бюджета за 2022 год, (%)</t>
  </si>
  <si>
    <t>Утверждено решением о бюджете (с учетом внесённых изменений  до 01.08.2022 года) (руб.)</t>
  </si>
  <si>
    <t>Исполнение бюджета на 01.08.2022 года (руб.)</t>
  </si>
  <si>
    <t xml:space="preserve">Утверждено решением о бюджете (с учетом внесённых изменений  до 01.08.2022 года) (руб.)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</si>
</sst>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"/>
    <numFmt numFmtId="187" formatCode="#,##0.0"/>
    <numFmt numFmtId="188" formatCode="[$-FC19]d\ mmmm\ yyyy\ &quot;г.&quot;"/>
    <numFmt numFmtId="189" formatCode="#,##0.0000"/>
    <numFmt numFmtId="190" formatCode="#,##0.00000"/>
    <numFmt numFmtId="191" formatCode="#,##0.000000"/>
  </numFmts>
  <fonts count="47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color indexed="8"/>
      <name val="Times New Roman"/>
      <family val="1"/>
    </font>
    <font>
      <b/>
      <sz val="14"/>
      <name val="Courier New"/>
      <family val="3"/>
    </font>
    <font>
      <sz val="14"/>
      <name val="Calibri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3" fillId="0" borderId="0" xfId="0" applyFont="1" applyAlignment="1">
      <alignment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right" vertical="center" shrinkToFi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top" wrapText="1"/>
    </xf>
    <xf numFmtId="4" fontId="2" fillId="0" borderId="0" xfId="0" applyNumberFormat="1" applyFont="1" applyFill="1" applyAlignment="1">
      <alignment horizontal="left" vertical="top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49" fontId="3" fillId="33" borderId="10" xfId="42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wrapText="1"/>
    </xf>
    <xf numFmtId="2" fontId="3" fillId="0" borderId="13" xfId="0" applyNumberFormat="1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justify" vertical="center" wrapText="1"/>
    </xf>
    <xf numFmtId="4" fontId="2" fillId="0" borderId="0" xfId="0" applyNumberFormat="1" applyFont="1" applyFill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justify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2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4" fontId="3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91" fontId="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4" fontId="2" fillId="7" borderId="10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top" wrapText="1"/>
    </xf>
    <xf numFmtId="4" fontId="2" fillId="7" borderId="10" xfId="0" applyNumberFormat="1" applyFont="1" applyFill="1" applyBorder="1" applyAlignment="1">
      <alignment horizontal="right" vertical="center" wrapText="1"/>
    </xf>
    <xf numFmtId="4" fontId="3" fillId="7" borderId="10" xfId="0" applyNumberFormat="1" applyFont="1" applyFill="1" applyBorder="1" applyAlignment="1">
      <alignment horizontal="right" vertical="center"/>
    </xf>
    <xf numFmtId="4" fontId="2" fillId="7" borderId="10" xfId="0" applyNumberFormat="1" applyFont="1" applyFill="1" applyBorder="1" applyAlignment="1">
      <alignment horizontal="right" vertical="center"/>
    </xf>
    <xf numFmtId="4" fontId="3" fillId="7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2" fillId="0" borderId="13" xfId="0" applyNumberFormat="1" applyFont="1" applyFill="1" applyBorder="1" applyAlignment="1">
      <alignment horizontal="right" vertical="center" wrapText="1"/>
    </xf>
    <xf numFmtId="176" fontId="3" fillId="0" borderId="0" xfId="0" applyNumberFormat="1" applyFont="1" applyFill="1" applyAlignment="1">
      <alignment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top" wrapText="1"/>
    </xf>
    <xf numFmtId="4" fontId="3" fillId="7" borderId="13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justify" vertical="top" wrapText="1"/>
    </xf>
    <xf numFmtId="4" fontId="2" fillId="7" borderId="13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horizontal="left" vertical="center"/>
    </xf>
    <xf numFmtId="4" fontId="8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Alignment="1">
      <alignment vertical="center"/>
    </xf>
    <xf numFmtId="49" fontId="2" fillId="0" borderId="16" xfId="0" applyNumberFormat="1" applyFont="1" applyFill="1" applyBorder="1" applyAlignment="1">
      <alignment horizontal="justify" vertical="center" wrapText="1"/>
    </xf>
    <xf numFmtId="49" fontId="2" fillId="0" borderId="13" xfId="0" applyNumberFormat="1" applyFont="1" applyFill="1" applyBorder="1" applyAlignment="1">
      <alignment horizontal="justify" vertical="top" wrapText="1"/>
    </xf>
    <xf numFmtId="0" fontId="8" fillId="0" borderId="0" xfId="0" applyFont="1" applyFill="1" applyAlignment="1">
      <alignment vertical="center"/>
    </xf>
    <xf numFmtId="49" fontId="2" fillId="0" borderId="17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Alignment="1">
      <alignment horizontal="left" vertical="center" wrapText="1"/>
    </xf>
    <xf numFmtId="176" fontId="9" fillId="0" borderId="0" xfId="0" applyNumberFormat="1" applyFont="1" applyFill="1" applyAlignment="1">
      <alignment vertical="center"/>
    </xf>
    <xf numFmtId="2" fontId="3" fillId="0" borderId="13" xfId="0" applyNumberFormat="1" applyFont="1" applyFill="1" applyBorder="1" applyAlignment="1">
      <alignment horizontal="justify" vertical="center" wrapText="1"/>
    </xf>
    <xf numFmtId="4" fontId="2" fillId="0" borderId="10" xfId="0" applyNumberFormat="1" applyFont="1" applyFill="1" applyBorder="1" applyAlignment="1">
      <alignment horizontal="right" vertical="center" shrinkToFit="1"/>
    </xf>
    <xf numFmtId="2" fontId="2" fillId="0" borderId="13" xfId="0" applyNumberFormat="1" applyFont="1" applyFill="1" applyBorder="1" applyAlignment="1">
      <alignment horizontal="justify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justify" vertical="top" wrapText="1"/>
    </xf>
    <xf numFmtId="4" fontId="7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33.875" style="35" customWidth="1"/>
    <col min="2" max="2" width="44.00390625" style="36" customWidth="1"/>
    <col min="3" max="3" width="19.625" style="37" customWidth="1"/>
    <col min="4" max="4" width="18.875" style="15" customWidth="1"/>
    <col min="5" max="5" width="18.75390625" style="15" customWidth="1"/>
    <col min="6" max="6" width="20.25390625" style="15" customWidth="1"/>
    <col min="7" max="7" width="14.875" style="15" customWidth="1"/>
    <col min="8" max="8" width="12.125" style="18" customWidth="1"/>
    <col min="9" max="9" width="15.00390625" style="18" customWidth="1"/>
    <col min="10" max="16384" width="9.125" style="18" customWidth="1"/>
  </cols>
  <sheetData>
    <row r="1" spans="1:7" s="14" customFormat="1" ht="27.75" customHeight="1">
      <c r="A1" s="121" t="s">
        <v>145</v>
      </c>
      <c r="B1" s="121"/>
      <c r="C1" s="121"/>
      <c r="D1" s="121"/>
      <c r="E1" s="121"/>
      <c r="F1" s="121"/>
      <c r="G1" s="121"/>
    </row>
    <row r="2" spans="1:7" s="14" customFormat="1" ht="25.5" customHeight="1">
      <c r="A2" s="120" t="s">
        <v>89</v>
      </c>
      <c r="B2" s="120"/>
      <c r="C2" s="43"/>
      <c r="D2" s="44"/>
      <c r="E2" s="44"/>
      <c r="F2" s="16"/>
      <c r="G2" s="17"/>
    </row>
    <row r="3" spans="1:8" s="14" customFormat="1" ht="154.5" customHeight="1">
      <c r="A3" s="19" t="s">
        <v>122</v>
      </c>
      <c r="B3" s="19" t="s">
        <v>123</v>
      </c>
      <c r="C3" s="78" t="s">
        <v>144</v>
      </c>
      <c r="D3" s="21" t="s">
        <v>146</v>
      </c>
      <c r="E3" s="20" t="s">
        <v>147</v>
      </c>
      <c r="F3" s="20" t="s">
        <v>148</v>
      </c>
      <c r="G3" s="20" t="s">
        <v>149</v>
      </c>
      <c r="H3" s="22"/>
    </row>
    <row r="4" spans="1:9" ht="18.75">
      <c r="A4" s="23">
        <v>1</v>
      </c>
      <c r="B4" s="24">
        <v>2</v>
      </c>
      <c r="C4" s="79">
        <v>3</v>
      </c>
      <c r="D4" s="25" t="s">
        <v>79</v>
      </c>
      <c r="E4" s="25" t="s">
        <v>80</v>
      </c>
      <c r="F4" s="25" t="s">
        <v>81</v>
      </c>
      <c r="G4" s="25" t="s">
        <v>82</v>
      </c>
      <c r="I4" s="26"/>
    </row>
    <row r="5" spans="1:9" ht="37.5">
      <c r="A5" s="31" t="s">
        <v>58</v>
      </c>
      <c r="B5" s="92" t="s">
        <v>59</v>
      </c>
      <c r="C5" s="93">
        <f>C12+C19</f>
        <v>54567562.71999999</v>
      </c>
      <c r="D5" s="94">
        <f>D12+D19</f>
        <v>53100352.949999996</v>
      </c>
      <c r="E5" s="94">
        <f>E12+E19</f>
        <v>30017611.919999998</v>
      </c>
      <c r="F5" s="94">
        <f>F12+F19</f>
        <v>53821836.57</v>
      </c>
      <c r="G5" s="27">
        <f aca="true" t="shared" si="0" ref="G5:G10">F5/D5*100</f>
        <v>101.35871718344201</v>
      </c>
      <c r="I5" s="28"/>
    </row>
    <row r="6" spans="1:9" ht="21.75" customHeight="1">
      <c r="A6" s="95" t="s">
        <v>110</v>
      </c>
      <c r="B6" s="96" t="s">
        <v>60</v>
      </c>
      <c r="C6" s="97">
        <f>42440452.55</f>
        <v>42440452.55</v>
      </c>
      <c r="D6" s="86">
        <f>44074166.33</f>
        <v>44074166.33</v>
      </c>
      <c r="E6" s="86">
        <f>25520478.06</f>
        <v>25520478.06</v>
      </c>
      <c r="F6" s="86">
        <f>44284166.33</f>
        <v>44284166.33</v>
      </c>
      <c r="G6" s="9">
        <f t="shared" si="0"/>
        <v>100.47646959088834</v>
      </c>
      <c r="H6" s="98"/>
      <c r="I6" s="29"/>
    </row>
    <row r="7" spans="1:9" ht="58.5" customHeight="1">
      <c r="A7" s="95" t="s">
        <v>111</v>
      </c>
      <c r="B7" s="46" t="s">
        <v>83</v>
      </c>
      <c r="C7" s="80">
        <f>2439686.44</f>
        <v>2439686.44</v>
      </c>
      <c r="D7" s="9">
        <f>2829103.33</f>
        <v>2829103.33</v>
      </c>
      <c r="E7" s="9">
        <f>1609003.72</f>
        <v>1609003.72</v>
      </c>
      <c r="F7" s="9">
        <f>2588490</f>
        <v>2588490</v>
      </c>
      <c r="G7" s="9">
        <f t="shared" si="0"/>
        <v>91.49506744951589</v>
      </c>
      <c r="H7" s="99"/>
      <c r="I7" s="100"/>
    </row>
    <row r="8" spans="1:9" ht="21" customHeight="1" hidden="1">
      <c r="A8" s="95" t="s">
        <v>112</v>
      </c>
      <c r="B8" s="101" t="s">
        <v>61</v>
      </c>
      <c r="C8" s="80"/>
      <c r="D8" s="9"/>
      <c r="E8" s="9"/>
      <c r="F8" s="9"/>
      <c r="G8" s="9" t="e">
        <f t="shared" si="0"/>
        <v>#DIV/0!</v>
      </c>
      <c r="I8" s="26"/>
    </row>
    <row r="9" spans="1:9" ht="21.75" customHeight="1">
      <c r="A9" s="95" t="s">
        <v>113</v>
      </c>
      <c r="B9" s="102" t="s">
        <v>62</v>
      </c>
      <c r="C9" s="80">
        <f>4189687.82</f>
        <v>4189687.82</v>
      </c>
      <c r="D9" s="9">
        <f>4000000</f>
        <v>4000000</v>
      </c>
      <c r="E9" s="9">
        <f>942662.14</f>
        <v>942662.14</v>
      </c>
      <c r="F9" s="9">
        <f>4000000</f>
        <v>4000000</v>
      </c>
      <c r="G9" s="9">
        <f t="shared" si="0"/>
        <v>100</v>
      </c>
      <c r="H9" s="103"/>
      <c r="I9" s="26"/>
    </row>
    <row r="10" spans="1:9" ht="18.75" hidden="1">
      <c r="A10" s="95" t="s">
        <v>63</v>
      </c>
      <c r="B10" s="102" t="s">
        <v>64</v>
      </c>
      <c r="C10" s="80"/>
      <c r="D10" s="9"/>
      <c r="E10" s="9"/>
      <c r="F10" s="9"/>
      <c r="G10" s="9" t="e">
        <f t="shared" si="0"/>
        <v>#DIV/0!</v>
      </c>
      <c r="I10" s="26"/>
    </row>
    <row r="11" spans="1:9" ht="0.75" customHeight="1" hidden="1">
      <c r="A11" s="104" t="s">
        <v>65</v>
      </c>
      <c r="B11" s="105" t="s">
        <v>66</v>
      </c>
      <c r="C11" s="80"/>
      <c r="D11" s="9"/>
      <c r="E11" s="9"/>
      <c r="F11" s="9"/>
      <c r="G11" s="9">
        <v>0</v>
      </c>
      <c r="I11" s="26"/>
    </row>
    <row r="12" spans="1:9" ht="18.75">
      <c r="A12" s="104"/>
      <c r="B12" s="47" t="s">
        <v>48</v>
      </c>
      <c r="C12" s="81">
        <f>SUM(C6:C11)</f>
        <v>49069826.809999995</v>
      </c>
      <c r="D12" s="27">
        <f>SUM(D6:D11)</f>
        <v>50903269.66</v>
      </c>
      <c r="E12" s="27">
        <f>SUM(E6:E11)</f>
        <v>28072143.919999998</v>
      </c>
      <c r="F12" s="27">
        <f>SUM(F6:F11)</f>
        <v>50872656.33</v>
      </c>
      <c r="G12" s="27">
        <f>F12/D12*100</f>
        <v>99.93985979642473</v>
      </c>
      <c r="I12" s="26"/>
    </row>
    <row r="13" spans="1:9" ht="73.5" customHeight="1">
      <c r="A13" s="95" t="s">
        <v>114</v>
      </c>
      <c r="B13" s="106" t="s">
        <v>67</v>
      </c>
      <c r="C13" s="80">
        <f>3744112.32</f>
        <v>3744112.32</v>
      </c>
      <c r="D13" s="9">
        <f>1974712.12</f>
        <v>1974712.12</v>
      </c>
      <c r="E13" s="9">
        <f>1706958.71</f>
        <v>1706958.71</v>
      </c>
      <c r="F13" s="9">
        <f>2597403.49</f>
        <v>2597403.49</v>
      </c>
      <c r="G13" s="9">
        <f>F13/D13*100</f>
        <v>131.53327331580869</v>
      </c>
      <c r="H13" s="107"/>
      <c r="I13" s="108"/>
    </row>
    <row r="14" spans="1:9" ht="43.5" customHeight="1" hidden="1">
      <c r="A14" s="95" t="s">
        <v>68</v>
      </c>
      <c r="B14" s="102" t="s">
        <v>69</v>
      </c>
      <c r="C14" s="80"/>
      <c r="D14" s="9"/>
      <c r="E14" s="9"/>
      <c r="F14" s="9"/>
      <c r="G14" s="9" t="e">
        <f>F14/D14*100</f>
        <v>#DIV/0!</v>
      </c>
      <c r="I14" s="26"/>
    </row>
    <row r="15" spans="1:9" ht="55.5" customHeight="1">
      <c r="A15" s="95" t="s">
        <v>115</v>
      </c>
      <c r="B15" s="105" t="s">
        <v>70</v>
      </c>
      <c r="C15" s="80">
        <f>777946.12</f>
        <v>777946.12</v>
      </c>
      <c r="D15" s="9">
        <f>38000</f>
        <v>38000</v>
      </c>
      <c r="E15" s="9">
        <f>38000</f>
        <v>38000</v>
      </c>
      <c r="F15" s="9">
        <f>38000</f>
        <v>38000</v>
      </c>
      <c r="G15" s="9">
        <f>0</f>
        <v>0</v>
      </c>
      <c r="I15" s="26"/>
    </row>
    <row r="16" spans="1:9" ht="39.75" customHeight="1">
      <c r="A16" s="95" t="s">
        <v>116</v>
      </c>
      <c r="B16" s="102" t="s">
        <v>135</v>
      </c>
      <c r="C16" s="80">
        <f>844708.38</f>
        <v>844708.38</v>
      </c>
      <c r="D16" s="9">
        <f>117621.55</f>
        <v>117621.55</v>
      </c>
      <c r="E16" s="9">
        <f>137759.67</f>
        <v>137759.67</v>
      </c>
      <c r="F16" s="9">
        <f>250027.13</f>
        <v>250027.13</v>
      </c>
      <c r="G16" s="9">
        <f>F16/D16*100</f>
        <v>212.56915080612356</v>
      </c>
      <c r="H16" s="107"/>
      <c r="I16" s="108"/>
    </row>
    <row r="17" spans="1:9" ht="39" customHeight="1">
      <c r="A17" s="95" t="s">
        <v>71</v>
      </c>
      <c r="B17" s="106" t="s">
        <v>72</v>
      </c>
      <c r="C17" s="80">
        <f>100176.53</f>
        <v>100176.53</v>
      </c>
      <c r="D17" s="9">
        <f>4000</f>
        <v>4000</v>
      </c>
      <c r="E17" s="9">
        <f>0</f>
        <v>0</v>
      </c>
      <c r="F17" s="9">
        <f>1000</f>
        <v>1000</v>
      </c>
      <c r="G17" s="9">
        <v>0</v>
      </c>
      <c r="I17" s="26"/>
    </row>
    <row r="18" spans="1:9" ht="25.5" customHeight="1">
      <c r="A18" s="95" t="s">
        <v>73</v>
      </c>
      <c r="B18" s="106" t="s">
        <v>49</v>
      </c>
      <c r="C18" s="80">
        <f>30792.56</f>
        <v>30792.56</v>
      </c>
      <c r="D18" s="9">
        <f>62749.62</f>
        <v>62749.62</v>
      </c>
      <c r="E18" s="9">
        <f>62749.62</f>
        <v>62749.62</v>
      </c>
      <c r="F18" s="9">
        <f>62749.62</f>
        <v>62749.62</v>
      </c>
      <c r="G18" s="9">
        <v>0</v>
      </c>
      <c r="I18" s="26"/>
    </row>
    <row r="19" spans="1:9" ht="18.75">
      <c r="A19" s="95"/>
      <c r="B19" s="47" t="s">
        <v>50</v>
      </c>
      <c r="C19" s="81">
        <f>SUM(C13:C18)</f>
        <v>5497735.909999999</v>
      </c>
      <c r="D19" s="27">
        <f>SUM(D13:D18)</f>
        <v>2197083.29</v>
      </c>
      <c r="E19" s="27">
        <f>SUM(E13:E18)</f>
        <v>1945468</v>
      </c>
      <c r="F19" s="27">
        <f>SUM(F13:F18)</f>
        <v>2949180.24</v>
      </c>
      <c r="G19" s="27">
        <f aca="true" t="shared" si="1" ref="G19:G28">F19/D19*100</f>
        <v>134.231608488543</v>
      </c>
      <c r="I19" s="26"/>
    </row>
    <row r="20" spans="1:9" ht="37.5">
      <c r="A20" s="31" t="s">
        <v>74</v>
      </c>
      <c r="B20" s="109" t="s">
        <v>75</v>
      </c>
      <c r="C20" s="81">
        <f>C21+C27+C26</f>
        <v>70807594.93</v>
      </c>
      <c r="D20" s="10">
        <f>D21+D27+D26</f>
        <v>96814015.7</v>
      </c>
      <c r="E20" s="10">
        <f>E21+E27+E26</f>
        <v>28651026.870000005</v>
      </c>
      <c r="F20" s="10">
        <f>F21+F27+F26</f>
        <v>95524471.18</v>
      </c>
      <c r="G20" s="27">
        <f t="shared" si="1"/>
        <v>98.66801876703892</v>
      </c>
      <c r="I20" s="26"/>
    </row>
    <row r="21" spans="1:9" ht="93" customHeight="1">
      <c r="A21" s="31" t="s">
        <v>76</v>
      </c>
      <c r="B21" s="48" t="s">
        <v>108</v>
      </c>
      <c r="C21" s="81">
        <f>SUM(C22:C25)</f>
        <v>70807594.93</v>
      </c>
      <c r="D21" s="27">
        <f>SUM(D22:D25)</f>
        <v>97002708.03</v>
      </c>
      <c r="E21" s="30">
        <f>SUM(E22:E25)</f>
        <v>28839719.200000003</v>
      </c>
      <c r="F21" s="30">
        <f>SUM(F22:F25)</f>
        <v>95713163.51</v>
      </c>
      <c r="G21" s="27">
        <f t="shared" si="1"/>
        <v>98.67060977349088</v>
      </c>
      <c r="I21" s="26"/>
    </row>
    <row r="22" spans="1:9" ht="40.5" customHeight="1">
      <c r="A22" s="45" t="s">
        <v>118</v>
      </c>
      <c r="B22" s="102" t="s">
        <v>107</v>
      </c>
      <c r="C22" s="82">
        <f>25183050</f>
        <v>25183050</v>
      </c>
      <c r="D22" s="9">
        <f>26859092.13</f>
        <v>26859092.13</v>
      </c>
      <c r="E22" s="9">
        <f>15611502.13</f>
        <v>15611502.13</v>
      </c>
      <c r="F22" s="110">
        <f>27115443.89</f>
        <v>27115443.89</v>
      </c>
      <c r="G22" s="9">
        <f t="shared" si="1"/>
        <v>100.95443196203074</v>
      </c>
      <c r="I22" s="26"/>
    </row>
    <row r="23" spans="1:8" ht="57" customHeight="1">
      <c r="A23" s="45" t="s">
        <v>119</v>
      </c>
      <c r="B23" s="105" t="s">
        <v>84</v>
      </c>
      <c r="C23" s="80">
        <f>24443504.53</f>
        <v>24443504.53</v>
      </c>
      <c r="D23" s="9">
        <f>70143615.9</f>
        <v>70143615.9</v>
      </c>
      <c r="E23" s="9">
        <f>13228217.07</f>
        <v>13228217.07</v>
      </c>
      <c r="F23" s="9">
        <f>68597719.62</f>
        <v>68597719.62</v>
      </c>
      <c r="G23" s="9">
        <f t="shared" si="1"/>
        <v>97.79609839018863</v>
      </c>
      <c r="H23" s="103"/>
    </row>
    <row r="24" spans="1:9" ht="40.5" customHeight="1">
      <c r="A24" s="45" t="s">
        <v>120</v>
      </c>
      <c r="B24" s="106" t="s">
        <v>136</v>
      </c>
      <c r="C24" s="80">
        <f>0</f>
        <v>0</v>
      </c>
      <c r="D24" s="9">
        <f>0</f>
        <v>0</v>
      </c>
      <c r="E24" s="9">
        <f>0</f>
        <v>0</v>
      </c>
      <c r="F24" s="9">
        <f>0</f>
        <v>0</v>
      </c>
      <c r="G24" s="9">
        <f>0</f>
        <v>0</v>
      </c>
      <c r="I24" s="26"/>
    </row>
    <row r="25" spans="1:9" s="14" customFormat="1" ht="32.25" customHeight="1">
      <c r="A25" s="45" t="s">
        <v>121</v>
      </c>
      <c r="B25" s="111" t="s">
        <v>77</v>
      </c>
      <c r="C25" s="80">
        <f>21181040.4</f>
        <v>21181040.4</v>
      </c>
      <c r="D25" s="9">
        <f>0</f>
        <v>0</v>
      </c>
      <c r="E25" s="9">
        <f>0</f>
        <v>0</v>
      </c>
      <c r="F25" s="9">
        <f>0</f>
        <v>0</v>
      </c>
      <c r="G25" s="9">
        <f>0</f>
        <v>0</v>
      </c>
      <c r="I25" s="34"/>
    </row>
    <row r="26" spans="1:9" s="41" customFormat="1" ht="41.25" customHeight="1">
      <c r="A26" s="112" t="s">
        <v>131</v>
      </c>
      <c r="B26" s="109" t="s">
        <v>132</v>
      </c>
      <c r="C26" s="83">
        <f>0</f>
        <v>0</v>
      </c>
      <c r="D26" s="27">
        <f>0</f>
        <v>0</v>
      </c>
      <c r="E26" s="27">
        <f>0</f>
        <v>0</v>
      </c>
      <c r="F26" s="27">
        <f>0</f>
        <v>0</v>
      </c>
      <c r="G26" s="27">
        <v>0</v>
      </c>
      <c r="I26" s="87"/>
    </row>
    <row r="27" spans="1:9" s="32" customFormat="1" ht="77.25" customHeight="1">
      <c r="A27" s="31" t="s">
        <v>78</v>
      </c>
      <c r="B27" s="48" t="s">
        <v>90</v>
      </c>
      <c r="C27" s="83">
        <f>0</f>
        <v>0</v>
      </c>
      <c r="D27" s="27">
        <f>-188692.33</f>
        <v>-188692.33</v>
      </c>
      <c r="E27" s="27">
        <f>-188692.33</f>
        <v>-188692.33</v>
      </c>
      <c r="F27" s="27">
        <f>-188692.33</f>
        <v>-188692.33</v>
      </c>
      <c r="G27" s="27">
        <f>0</f>
        <v>0</v>
      </c>
      <c r="I27" s="33"/>
    </row>
    <row r="28" spans="1:9" s="14" customFormat="1" ht="22.5" customHeight="1">
      <c r="A28" s="25"/>
      <c r="B28" s="49" t="s">
        <v>105</v>
      </c>
      <c r="C28" s="81">
        <f>C5+C20</f>
        <v>125375157.65</v>
      </c>
      <c r="D28" s="27">
        <f>D5+D20</f>
        <v>149914368.65</v>
      </c>
      <c r="E28" s="30">
        <f>E5+E20</f>
        <v>58668638.79000001</v>
      </c>
      <c r="F28" s="30">
        <f>F5+F20</f>
        <v>149346307.75</v>
      </c>
      <c r="G28" s="27">
        <f t="shared" si="1"/>
        <v>99.62107641507917</v>
      </c>
      <c r="I28" s="34"/>
    </row>
    <row r="30" ht="16.5" customHeight="1"/>
  </sheetData>
  <sheetProtection/>
  <mergeCells count="2">
    <mergeCell ref="A2:B2"/>
    <mergeCell ref="A1:G1"/>
  </mergeCells>
  <printOptions/>
  <pageMargins left="0.984251968503937" right="0.3937007874015748" top="0.7874015748031497" bottom="0.3937007874015748" header="0.31496062992125984" footer="0.31496062992125984"/>
  <pageSetup fitToHeight="0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="96" zoomScaleNormal="96" zoomScalePageLayoutView="0" workbookViewId="0" topLeftCell="A1">
      <selection activeCell="L6" sqref="L6"/>
    </sheetView>
  </sheetViews>
  <sheetFormatPr defaultColWidth="9.00390625" defaultRowHeight="12.75"/>
  <cols>
    <col min="1" max="1" width="9.875" style="77" customWidth="1"/>
    <col min="2" max="2" width="61.75390625" style="75" customWidth="1"/>
    <col min="3" max="3" width="23.25390625" style="15" customWidth="1"/>
    <col min="4" max="4" width="20.125" style="15" customWidth="1"/>
    <col min="5" max="5" width="22.125" style="15" customWidth="1"/>
    <col min="6" max="6" width="22.25390625" style="18" customWidth="1"/>
    <col min="7" max="7" width="21.25390625" style="18" customWidth="1"/>
    <col min="8" max="8" width="13.00390625" style="53" customWidth="1"/>
    <col min="9" max="9" width="18.25390625" style="18" customWidth="1"/>
    <col min="10" max="10" width="16.25390625" style="18" customWidth="1"/>
    <col min="11" max="11" width="17.375" style="18" customWidth="1"/>
    <col min="12" max="12" width="16.375" style="18" customWidth="1"/>
    <col min="13" max="13" width="18.25390625" style="18" customWidth="1"/>
    <col min="14" max="16384" width="9.125" style="18" customWidth="1"/>
  </cols>
  <sheetData>
    <row r="1" spans="1:8" s="14" customFormat="1" ht="23.25" customHeight="1">
      <c r="A1" s="50" t="s">
        <v>88</v>
      </c>
      <c r="B1" s="50"/>
      <c r="C1" s="44"/>
      <c r="D1" s="44"/>
      <c r="E1" s="16"/>
      <c r="F1" s="51"/>
      <c r="H1" s="52"/>
    </row>
    <row r="2" spans="1:6" ht="133.5" customHeight="1">
      <c r="A2" s="19" t="s">
        <v>92</v>
      </c>
      <c r="B2" s="19" t="s">
        <v>91</v>
      </c>
      <c r="C2" s="21" t="s">
        <v>150</v>
      </c>
      <c r="D2" s="20" t="s">
        <v>151</v>
      </c>
      <c r="E2" s="20" t="s">
        <v>148</v>
      </c>
      <c r="F2" s="19" t="s">
        <v>149</v>
      </c>
    </row>
    <row r="3" spans="1:6" ht="18.75">
      <c r="A3" s="23">
        <v>1</v>
      </c>
      <c r="B3" s="19">
        <v>2</v>
      </c>
      <c r="C3" s="25">
        <v>3</v>
      </c>
      <c r="D3" s="25">
        <v>4</v>
      </c>
      <c r="E3" s="54">
        <v>5</v>
      </c>
      <c r="F3" s="23">
        <v>6</v>
      </c>
    </row>
    <row r="4" spans="1:8" s="14" customFormat="1" ht="24" customHeight="1">
      <c r="A4" s="55" t="s">
        <v>13</v>
      </c>
      <c r="B4" s="56" t="s">
        <v>0</v>
      </c>
      <c r="C4" s="27">
        <f>SUM(C5:C11)</f>
        <v>8402172.15</v>
      </c>
      <c r="D4" s="27">
        <f>SUM(D5:D11)</f>
        <v>4556315.32</v>
      </c>
      <c r="E4" s="27">
        <f>SUM(E5:E11)</f>
        <v>8681858.31</v>
      </c>
      <c r="F4" s="38">
        <f aca="true" t="shared" si="0" ref="F4:F11">E4/C4*100</f>
        <v>103.32873636729761</v>
      </c>
      <c r="G4" s="39"/>
      <c r="H4" s="57"/>
    </row>
    <row r="5" spans="1:8" s="14" customFormat="1" ht="57.75" customHeight="1">
      <c r="A5" s="25" t="s">
        <v>14</v>
      </c>
      <c r="B5" s="58" t="s">
        <v>93</v>
      </c>
      <c r="C5" s="9">
        <f>955801.65</f>
        <v>955801.65</v>
      </c>
      <c r="D5" s="9">
        <f>494708.79</f>
        <v>494708.79</v>
      </c>
      <c r="E5" s="9">
        <f>902004.65</f>
        <v>902004.65</v>
      </c>
      <c r="F5" s="59">
        <f t="shared" si="0"/>
        <v>94.37153095519348</v>
      </c>
      <c r="G5" s="39"/>
      <c r="H5" s="57"/>
    </row>
    <row r="6" spans="1:8" s="14" customFormat="1" ht="76.5" customHeight="1">
      <c r="A6" s="25" t="s">
        <v>15</v>
      </c>
      <c r="B6" s="58" t="s">
        <v>85</v>
      </c>
      <c r="C6" s="9">
        <f>1937485.56</f>
        <v>1937485.56</v>
      </c>
      <c r="D6" s="9">
        <f>1132500.06</f>
        <v>1132500.06</v>
      </c>
      <c r="E6" s="9">
        <f>1943815.24</f>
        <v>1943815.24</v>
      </c>
      <c r="F6" s="59">
        <f t="shared" si="0"/>
        <v>100.32669559612097</v>
      </c>
      <c r="G6" s="39"/>
      <c r="H6" s="57"/>
    </row>
    <row r="7" spans="1:8" s="14" customFormat="1" ht="21" customHeight="1" hidden="1">
      <c r="A7" s="60" t="s">
        <v>46</v>
      </c>
      <c r="B7" s="58" t="s">
        <v>47</v>
      </c>
      <c r="C7" s="9"/>
      <c r="D7" s="9"/>
      <c r="E7" s="9"/>
      <c r="F7" s="59" t="e">
        <f t="shared" si="0"/>
        <v>#DIV/0!</v>
      </c>
      <c r="G7" s="39"/>
      <c r="H7" s="57"/>
    </row>
    <row r="8" spans="1:8" s="14" customFormat="1" ht="62.25" customHeight="1">
      <c r="A8" s="60" t="s">
        <v>141</v>
      </c>
      <c r="B8" s="58" t="s">
        <v>142</v>
      </c>
      <c r="C8" s="9">
        <f>3600</f>
        <v>3600</v>
      </c>
      <c r="D8" s="9">
        <f>3600</f>
        <v>3600</v>
      </c>
      <c r="E8" s="9">
        <f>3600</f>
        <v>3600</v>
      </c>
      <c r="F8" s="59">
        <f t="shared" si="0"/>
        <v>100</v>
      </c>
      <c r="G8" s="39"/>
      <c r="H8" s="57"/>
    </row>
    <row r="9" spans="1:8" s="14" customFormat="1" ht="21" customHeight="1" hidden="1">
      <c r="A9" s="60" t="s">
        <v>133</v>
      </c>
      <c r="B9" s="58" t="s">
        <v>134</v>
      </c>
      <c r="C9" s="9"/>
      <c r="D9" s="9"/>
      <c r="E9" s="9"/>
      <c r="F9" s="59" t="e">
        <f t="shared" si="0"/>
        <v>#DIV/0!</v>
      </c>
      <c r="G9" s="39"/>
      <c r="H9" s="57"/>
    </row>
    <row r="10" spans="1:8" s="14" customFormat="1" ht="21" customHeight="1">
      <c r="A10" s="60" t="s">
        <v>37</v>
      </c>
      <c r="B10" s="58" t="s">
        <v>1</v>
      </c>
      <c r="C10" s="9">
        <f>260000</f>
        <v>260000</v>
      </c>
      <c r="D10" s="9">
        <f>0</f>
        <v>0</v>
      </c>
      <c r="E10" s="9">
        <f>0</f>
        <v>0</v>
      </c>
      <c r="F10" s="59">
        <f t="shared" si="0"/>
        <v>0</v>
      </c>
      <c r="G10" s="39"/>
      <c r="H10" s="57"/>
    </row>
    <row r="11" spans="1:8" s="14" customFormat="1" ht="21.75" customHeight="1">
      <c r="A11" s="60" t="s">
        <v>51</v>
      </c>
      <c r="B11" s="58" t="s">
        <v>94</v>
      </c>
      <c r="C11" s="9">
        <f>5245284.94</f>
        <v>5245284.94</v>
      </c>
      <c r="D11" s="9">
        <f>2925506.47</f>
        <v>2925506.47</v>
      </c>
      <c r="E11" s="9">
        <f>5832438.42</f>
        <v>5832438.42</v>
      </c>
      <c r="F11" s="59">
        <f t="shared" si="0"/>
        <v>111.19392915192134</v>
      </c>
      <c r="G11" s="39"/>
      <c r="H11" s="57"/>
    </row>
    <row r="12" spans="1:8" s="14" customFormat="1" ht="36.75" customHeight="1">
      <c r="A12" s="55" t="s">
        <v>16</v>
      </c>
      <c r="B12" s="56" t="s">
        <v>2</v>
      </c>
      <c r="C12" s="27">
        <f>SUM(C13:C15)</f>
        <v>453500</v>
      </c>
      <c r="D12" s="27">
        <f>SUM(D13:D15)</f>
        <v>294379.05</v>
      </c>
      <c r="E12" s="27">
        <f>SUM(E13:E15)</f>
        <v>510060</v>
      </c>
      <c r="F12" s="38">
        <f>F13</f>
        <v>250</v>
      </c>
      <c r="G12" s="39"/>
      <c r="H12" s="57"/>
    </row>
    <row r="13" spans="1:8" s="14" customFormat="1" ht="25.5" customHeight="1">
      <c r="A13" s="60" t="s">
        <v>17</v>
      </c>
      <c r="B13" s="61" t="s">
        <v>139</v>
      </c>
      <c r="C13" s="9">
        <f>12000</f>
        <v>12000</v>
      </c>
      <c r="D13" s="9">
        <f>0</f>
        <v>0</v>
      </c>
      <c r="E13" s="9">
        <f>30000</f>
        <v>30000</v>
      </c>
      <c r="F13" s="59">
        <f>E13/C13*100</f>
        <v>250</v>
      </c>
      <c r="G13" s="39"/>
      <c r="H13" s="57"/>
    </row>
    <row r="14" spans="1:8" s="14" customFormat="1" ht="55.5" customHeight="1">
      <c r="A14" s="60" t="s">
        <v>109</v>
      </c>
      <c r="B14" s="61" t="s">
        <v>140</v>
      </c>
      <c r="C14" s="9">
        <f>241500</f>
        <v>241500</v>
      </c>
      <c r="D14" s="9">
        <f>111875</f>
        <v>111875</v>
      </c>
      <c r="E14" s="9">
        <f>280060</f>
        <v>280060</v>
      </c>
      <c r="F14" s="59">
        <f>E14/C14*100</f>
        <v>115.96687370600414</v>
      </c>
      <c r="G14" s="39"/>
      <c r="H14" s="57"/>
    </row>
    <row r="15" spans="1:8" s="14" customFormat="1" ht="39.75" customHeight="1">
      <c r="A15" s="60" t="s">
        <v>95</v>
      </c>
      <c r="B15" s="61" t="s">
        <v>96</v>
      </c>
      <c r="C15" s="9">
        <f>200000</f>
        <v>200000</v>
      </c>
      <c r="D15" s="9">
        <f>182504.05</f>
        <v>182504.05</v>
      </c>
      <c r="E15" s="9">
        <f>200000</f>
        <v>200000</v>
      </c>
      <c r="F15" s="59">
        <f>E15/C15*100</f>
        <v>100</v>
      </c>
      <c r="G15" s="39"/>
      <c r="H15" s="57"/>
    </row>
    <row r="16" spans="1:8" s="14" customFormat="1" ht="22.5" customHeight="1">
      <c r="A16" s="62" t="s">
        <v>18</v>
      </c>
      <c r="B16" s="56" t="s">
        <v>3</v>
      </c>
      <c r="C16" s="27">
        <f>SUM(C17:C20)</f>
        <v>69116482.66</v>
      </c>
      <c r="D16" s="27">
        <f>SUM(D17:D20)</f>
        <v>15132167.43</v>
      </c>
      <c r="E16" s="27">
        <f>SUM(E17:E20)</f>
        <v>69264978.81</v>
      </c>
      <c r="F16" s="38">
        <f aca="true" t="shared" si="1" ref="F16:F45">E16/C16*100</f>
        <v>100.21484911309868</v>
      </c>
      <c r="G16" s="39"/>
      <c r="H16" s="57"/>
    </row>
    <row r="17" spans="1:8" s="14" customFormat="1" ht="22.5" customHeight="1">
      <c r="A17" s="113" t="s">
        <v>127</v>
      </c>
      <c r="B17" s="12" t="s">
        <v>128</v>
      </c>
      <c r="C17" s="9">
        <f>340000</f>
        <v>340000</v>
      </c>
      <c r="D17" s="9">
        <f>125436.41</f>
        <v>125436.41</v>
      </c>
      <c r="E17" s="9">
        <f>340000</f>
        <v>340000</v>
      </c>
      <c r="F17" s="59">
        <f t="shared" si="1"/>
        <v>100</v>
      </c>
      <c r="G17" s="88"/>
      <c r="H17" s="57"/>
    </row>
    <row r="18" spans="1:8" s="14" customFormat="1" ht="18.75">
      <c r="A18" s="25" t="s">
        <v>33</v>
      </c>
      <c r="B18" s="61" t="s">
        <v>34</v>
      </c>
      <c r="C18" s="9">
        <f>3857055.68</f>
        <v>3857055.68</v>
      </c>
      <c r="D18" s="9">
        <f>1977414.62</f>
        <v>1977414.62</v>
      </c>
      <c r="E18" s="9">
        <f>3857055.68</f>
        <v>3857055.68</v>
      </c>
      <c r="F18" s="59">
        <f t="shared" si="1"/>
        <v>100</v>
      </c>
      <c r="G18" s="39"/>
      <c r="H18" s="57"/>
    </row>
    <row r="19" spans="1:8" s="14" customFormat="1" ht="18.75">
      <c r="A19" s="60" t="s">
        <v>52</v>
      </c>
      <c r="B19" s="61" t="s">
        <v>86</v>
      </c>
      <c r="C19" s="9">
        <f>64859426.98</f>
        <v>64859426.98</v>
      </c>
      <c r="D19" s="9">
        <f>12986816.4</f>
        <v>12986816.4</v>
      </c>
      <c r="E19" s="9">
        <f>65007923.13</f>
        <v>65007923.13</v>
      </c>
      <c r="F19" s="59">
        <f t="shared" si="1"/>
        <v>100.22895075845457</v>
      </c>
      <c r="G19" s="123"/>
      <c r="H19" s="57"/>
    </row>
    <row r="20" spans="1:8" s="14" customFormat="1" ht="37.5" customHeight="1">
      <c r="A20" s="60" t="s">
        <v>38</v>
      </c>
      <c r="B20" s="61" t="s">
        <v>35</v>
      </c>
      <c r="C20" s="9">
        <f>60000</f>
        <v>60000</v>
      </c>
      <c r="D20" s="9">
        <f>42500</f>
        <v>42500</v>
      </c>
      <c r="E20" s="9">
        <f>60000</f>
        <v>60000</v>
      </c>
      <c r="F20" s="59">
        <f t="shared" si="1"/>
        <v>100</v>
      </c>
      <c r="G20" s="39"/>
      <c r="H20" s="57"/>
    </row>
    <row r="21" spans="1:8" s="14" customFormat="1" ht="18.75">
      <c r="A21" s="62" t="s">
        <v>19</v>
      </c>
      <c r="B21" s="63" t="s">
        <v>4</v>
      </c>
      <c r="C21" s="27">
        <f>SUM(C22:C25)</f>
        <v>37012220.19</v>
      </c>
      <c r="D21" s="27">
        <f>SUM(D22:D25)</f>
        <v>14810714.620000001</v>
      </c>
      <c r="E21" s="27">
        <f>SUM(E22:E25)</f>
        <v>37271786.75</v>
      </c>
      <c r="F21" s="38">
        <f t="shared" si="1"/>
        <v>100.70129962122654</v>
      </c>
      <c r="G21" s="39"/>
      <c r="H21" s="57"/>
    </row>
    <row r="22" spans="1:8" s="14" customFormat="1" ht="18" customHeight="1">
      <c r="A22" s="60" t="s">
        <v>20</v>
      </c>
      <c r="B22" s="61" t="s">
        <v>5</v>
      </c>
      <c r="C22" s="9">
        <f>1584406.42</f>
        <v>1584406.42</v>
      </c>
      <c r="D22" s="9">
        <f>439691.73</f>
        <v>439691.73</v>
      </c>
      <c r="E22" s="9">
        <f>1072959.52</f>
        <v>1072959.52</v>
      </c>
      <c r="F22" s="59">
        <f t="shared" si="1"/>
        <v>67.71996796125076</v>
      </c>
      <c r="G22" s="39"/>
      <c r="H22" s="57"/>
    </row>
    <row r="23" spans="1:8" s="14" customFormat="1" ht="18.75">
      <c r="A23" s="60" t="s">
        <v>21</v>
      </c>
      <c r="B23" s="58" t="s">
        <v>6</v>
      </c>
      <c r="C23" s="9">
        <f>11890381.66</f>
        <v>11890381.66</v>
      </c>
      <c r="D23" s="9">
        <f>3341241.57</f>
        <v>3341241.57</v>
      </c>
      <c r="E23" s="9">
        <f>12066237.62</f>
        <v>12066237.62</v>
      </c>
      <c r="F23" s="59">
        <f t="shared" si="1"/>
        <v>101.47897657979803</v>
      </c>
      <c r="G23" s="123"/>
      <c r="H23" s="57"/>
    </row>
    <row r="24" spans="1:8" s="14" customFormat="1" ht="18" customHeight="1">
      <c r="A24" s="60" t="s">
        <v>56</v>
      </c>
      <c r="B24" s="58" t="s">
        <v>57</v>
      </c>
      <c r="C24" s="9">
        <f>23537432.11</f>
        <v>23537432.11</v>
      </c>
      <c r="D24" s="9">
        <f>11029781.32</f>
        <v>11029781.32</v>
      </c>
      <c r="E24" s="9">
        <f>24132589.61</f>
        <v>24132589.61</v>
      </c>
      <c r="F24" s="59">
        <f t="shared" si="1"/>
        <v>102.52855747907668</v>
      </c>
      <c r="G24" s="39"/>
      <c r="H24" s="57"/>
    </row>
    <row r="25" spans="1:8" s="14" customFormat="1" ht="37.5" hidden="1">
      <c r="A25" s="60" t="s">
        <v>125</v>
      </c>
      <c r="B25" s="46" t="s">
        <v>126</v>
      </c>
      <c r="C25" s="9"/>
      <c r="D25" s="9"/>
      <c r="E25" s="9"/>
      <c r="F25" s="59" t="e">
        <f t="shared" si="1"/>
        <v>#DIV/0!</v>
      </c>
      <c r="G25" s="39"/>
      <c r="H25" s="57"/>
    </row>
    <row r="26" spans="1:8" s="14" customFormat="1" ht="18.75">
      <c r="A26" s="55" t="s">
        <v>22</v>
      </c>
      <c r="B26" s="56" t="s">
        <v>7</v>
      </c>
      <c r="C26" s="27">
        <f>SUM(C27:C28)</f>
        <v>120660</v>
      </c>
      <c r="D26" s="27">
        <f>SUM(D27:D28)</f>
        <v>39520</v>
      </c>
      <c r="E26" s="27">
        <f>SUM(E27:E28)</f>
        <v>119050</v>
      </c>
      <c r="F26" s="38">
        <f t="shared" si="1"/>
        <v>98.66567213658213</v>
      </c>
      <c r="G26" s="39"/>
      <c r="H26" s="57"/>
    </row>
    <row r="27" spans="1:8" s="14" customFormat="1" ht="37.5">
      <c r="A27" s="113" t="s">
        <v>129</v>
      </c>
      <c r="B27" s="114" t="s">
        <v>130</v>
      </c>
      <c r="C27" s="9">
        <f>5000</f>
        <v>5000</v>
      </c>
      <c r="D27" s="9">
        <f>800</f>
        <v>800</v>
      </c>
      <c r="E27" s="9">
        <f>5000</f>
        <v>5000</v>
      </c>
      <c r="F27" s="59">
        <f t="shared" si="1"/>
        <v>100</v>
      </c>
      <c r="G27" s="88"/>
      <c r="H27" s="57"/>
    </row>
    <row r="28" spans="1:8" s="14" customFormat="1" ht="18.75">
      <c r="A28" s="60" t="s">
        <v>23</v>
      </c>
      <c r="B28" s="61" t="s">
        <v>100</v>
      </c>
      <c r="C28" s="9">
        <f>115660</f>
        <v>115660</v>
      </c>
      <c r="D28" s="9">
        <f>38720</f>
        <v>38720</v>
      </c>
      <c r="E28" s="9">
        <f>114050</f>
        <v>114050</v>
      </c>
      <c r="F28" s="59">
        <f t="shared" si="1"/>
        <v>98.60798893307971</v>
      </c>
      <c r="G28" s="39"/>
      <c r="H28" s="57"/>
    </row>
    <row r="29" spans="1:8" s="14" customFormat="1" ht="19.5" customHeight="1">
      <c r="A29" s="55" t="s">
        <v>24</v>
      </c>
      <c r="B29" s="56" t="s">
        <v>87</v>
      </c>
      <c r="C29" s="27">
        <f>SUM(C30:C30)</f>
        <v>41416914.73</v>
      </c>
      <c r="D29" s="27">
        <f>SUM(D30:D30)</f>
        <v>21538202.95</v>
      </c>
      <c r="E29" s="27">
        <f>SUM(E30:E30)</f>
        <v>42061578.34</v>
      </c>
      <c r="F29" s="38">
        <f t="shared" si="1"/>
        <v>101.55652253240643</v>
      </c>
      <c r="G29" s="39"/>
      <c r="H29" s="57"/>
    </row>
    <row r="30" spans="1:8" s="14" customFormat="1" ht="21" customHeight="1">
      <c r="A30" s="25" t="s">
        <v>25</v>
      </c>
      <c r="B30" s="61" t="s">
        <v>8</v>
      </c>
      <c r="C30" s="9">
        <f>41416914.73</f>
        <v>41416914.73</v>
      </c>
      <c r="D30" s="9">
        <f>21538202.95</f>
        <v>21538202.95</v>
      </c>
      <c r="E30" s="9">
        <f>42061578.34</f>
        <v>42061578.34</v>
      </c>
      <c r="F30" s="59">
        <f t="shared" si="1"/>
        <v>101.55652253240643</v>
      </c>
      <c r="G30" s="115"/>
      <c r="H30" s="57"/>
    </row>
    <row r="31" spans="1:8" s="14" customFormat="1" ht="0.75" customHeight="1" hidden="1">
      <c r="A31" s="62" t="s">
        <v>26</v>
      </c>
      <c r="B31" s="56" t="s">
        <v>9</v>
      </c>
      <c r="C31" s="27">
        <f>SUM(C32:C35)</f>
        <v>0</v>
      </c>
      <c r="D31" s="27">
        <f>SUM(D32:D35)</f>
        <v>0</v>
      </c>
      <c r="E31" s="27">
        <f>SUM(E32:E35)</f>
        <v>0</v>
      </c>
      <c r="F31" s="38" t="e">
        <f t="shared" si="1"/>
        <v>#DIV/0!</v>
      </c>
      <c r="G31" s="39"/>
      <c r="H31" s="57"/>
    </row>
    <row r="32" spans="1:8" s="14" customFormat="1" ht="18.75" hidden="1">
      <c r="A32" s="25" t="s">
        <v>27</v>
      </c>
      <c r="B32" s="61" t="s">
        <v>41</v>
      </c>
      <c r="C32" s="9"/>
      <c r="D32" s="9"/>
      <c r="E32" s="9"/>
      <c r="F32" s="59" t="e">
        <f t="shared" si="1"/>
        <v>#DIV/0!</v>
      </c>
      <c r="G32" s="39"/>
      <c r="H32" s="57"/>
    </row>
    <row r="33" spans="1:8" s="14" customFormat="1" ht="18.75" hidden="1">
      <c r="A33" s="60" t="s">
        <v>28</v>
      </c>
      <c r="B33" s="61" t="s">
        <v>42</v>
      </c>
      <c r="C33" s="9"/>
      <c r="D33" s="9"/>
      <c r="E33" s="9"/>
      <c r="F33" s="59" t="e">
        <f t="shared" si="1"/>
        <v>#DIV/0!</v>
      </c>
      <c r="G33" s="39"/>
      <c r="H33" s="57"/>
    </row>
    <row r="34" spans="1:8" s="14" customFormat="1" ht="37.5" hidden="1">
      <c r="A34" s="60" t="s">
        <v>39</v>
      </c>
      <c r="B34" s="61" t="s">
        <v>43</v>
      </c>
      <c r="C34" s="9"/>
      <c r="D34" s="9"/>
      <c r="E34" s="9"/>
      <c r="F34" s="59" t="e">
        <f t="shared" si="1"/>
        <v>#DIV/0!</v>
      </c>
      <c r="G34" s="39"/>
      <c r="H34" s="57"/>
    </row>
    <row r="35" spans="1:8" s="14" customFormat="1" ht="18.75" hidden="1">
      <c r="A35" s="60" t="s">
        <v>40</v>
      </c>
      <c r="B35" s="61" t="s">
        <v>44</v>
      </c>
      <c r="C35" s="9"/>
      <c r="D35" s="9"/>
      <c r="E35" s="9"/>
      <c r="F35" s="59" t="e">
        <f t="shared" si="1"/>
        <v>#DIV/0!</v>
      </c>
      <c r="G35" s="39"/>
      <c r="H35" s="57"/>
    </row>
    <row r="36" spans="1:8" s="14" customFormat="1" ht="18.75">
      <c r="A36" s="62" t="s">
        <v>29</v>
      </c>
      <c r="B36" s="63" t="s">
        <v>10</v>
      </c>
      <c r="C36" s="27">
        <f>SUM(C37:C39)</f>
        <v>324498.1</v>
      </c>
      <c r="D36" s="27">
        <f>SUM(D37:D39)</f>
        <v>165650</v>
      </c>
      <c r="E36" s="27">
        <f>SUM(E37:E39)</f>
        <v>289674.7</v>
      </c>
      <c r="F36" s="38">
        <f t="shared" si="1"/>
        <v>89.2685350083714</v>
      </c>
      <c r="G36" s="39"/>
      <c r="H36" s="57"/>
    </row>
    <row r="37" spans="1:8" s="14" customFormat="1" ht="19.5" customHeight="1">
      <c r="A37" s="60" t="s">
        <v>30</v>
      </c>
      <c r="B37" s="61" t="s">
        <v>11</v>
      </c>
      <c r="C37" s="9">
        <f>249674.7</f>
        <v>249674.7</v>
      </c>
      <c r="D37" s="9">
        <f>125650</f>
        <v>125650</v>
      </c>
      <c r="E37" s="9">
        <f>249674.7</f>
        <v>249674.7</v>
      </c>
      <c r="F37" s="59">
        <f t="shared" si="1"/>
        <v>100</v>
      </c>
      <c r="G37" s="39"/>
      <c r="H37" s="57"/>
    </row>
    <row r="38" spans="1:8" s="14" customFormat="1" ht="21" customHeight="1">
      <c r="A38" s="60" t="s">
        <v>31</v>
      </c>
      <c r="B38" s="61" t="s">
        <v>12</v>
      </c>
      <c r="C38" s="9">
        <f>74823.4</f>
        <v>74823.4</v>
      </c>
      <c r="D38" s="9">
        <f>40000</f>
        <v>40000</v>
      </c>
      <c r="E38" s="9">
        <f>40000</f>
        <v>40000</v>
      </c>
      <c r="F38" s="59">
        <f t="shared" si="1"/>
        <v>53.45921195775654</v>
      </c>
      <c r="G38" s="39"/>
      <c r="H38" s="57"/>
    </row>
    <row r="39" spans="1:8" s="14" customFormat="1" ht="18.75" customHeight="1" hidden="1">
      <c r="A39" s="60" t="s">
        <v>32</v>
      </c>
      <c r="B39" s="58" t="s">
        <v>45</v>
      </c>
      <c r="C39" s="9">
        <v>0</v>
      </c>
      <c r="D39" s="9">
        <v>0</v>
      </c>
      <c r="E39" s="9"/>
      <c r="F39" s="59" t="e">
        <f t="shared" si="1"/>
        <v>#DIV/0!</v>
      </c>
      <c r="G39" s="39"/>
      <c r="H39" s="57"/>
    </row>
    <row r="40" spans="1:8" s="14" customFormat="1" ht="18.75">
      <c r="A40" s="62" t="s">
        <v>36</v>
      </c>
      <c r="B40" s="56" t="s">
        <v>53</v>
      </c>
      <c r="C40" s="27">
        <f>SUM(C41)</f>
        <v>77000</v>
      </c>
      <c r="D40" s="27">
        <f>SUM(D41)</f>
        <v>0</v>
      </c>
      <c r="E40" s="27">
        <f>SUM(E41)</f>
        <v>77000</v>
      </c>
      <c r="F40" s="59">
        <f t="shared" si="1"/>
        <v>100</v>
      </c>
      <c r="G40" s="39"/>
      <c r="H40" s="57"/>
    </row>
    <row r="41" spans="1:8" s="14" customFormat="1" ht="19.5" customHeight="1">
      <c r="A41" s="60" t="s">
        <v>54</v>
      </c>
      <c r="B41" s="58" t="s">
        <v>55</v>
      </c>
      <c r="C41" s="9">
        <f>77000</f>
        <v>77000</v>
      </c>
      <c r="D41" s="9">
        <f>0</f>
        <v>0</v>
      </c>
      <c r="E41" s="9">
        <f>77000</f>
        <v>77000</v>
      </c>
      <c r="F41" s="59">
        <f t="shared" si="1"/>
        <v>100</v>
      </c>
      <c r="G41" s="39"/>
      <c r="H41" s="57"/>
    </row>
    <row r="42" spans="1:8" s="41" customFormat="1" ht="37.5" customHeight="1" hidden="1">
      <c r="A42" s="116">
        <v>1300</v>
      </c>
      <c r="B42" s="117" t="s">
        <v>137</v>
      </c>
      <c r="C42" s="27">
        <f>C43</f>
        <v>0</v>
      </c>
      <c r="D42" s="27">
        <f>D43</f>
        <v>0</v>
      </c>
      <c r="E42" s="27">
        <f>E43</f>
        <v>0</v>
      </c>
      <c r="F42" s="38" t="e">
        <f t="shared" si="1"/>
        <v>#DIV/0!</v>
      </c>
      <c r="G42" s="39"/>
      <c r="H42" s="40"/>
    </row>
    <row r="43" spans="1:8" s="14" customFormat="1" ht="39.75" customHeight="1" hidden="1">
      <c r="A43" s="118">
        <v>1301</v>
      </c>
      <c r="B43" s="119" t="s">
        <v>138</v>
      </c>
      <c r="C43" s="9"/>
      <c r="D43" s="9"/>
      <c r="E43" s="9"/>
      <c r="F43" s="59" t="e">
        <f t="shared" si="1"/>
        <v>#DIV/0!</v>
      </c>
      <c r="G43" s="39"/>
      <c r="H43" s="57"/>
    </row>
    <row r="44" spans="1:10" s="14" customFormat="1" ht="18.75">
      <c r="A44" s="25"/>
      <c r="B44" s="56" t="s">
        <v>106</v>
      </c>
      <c r="C44" s="27">
        <f>C36+C31+C29+C26+C21+C16+C12+C4+C40+C42</f>
        <v>156923447.83</v>
      </c>
      <c r="D44" s="27">
        <f>D36+D31+D29+D26+D21+D16+D12+D4+D40+D42</f>
        <v>56536949.37</v>
      </c>
      <c r="E44" s="27">
        <f>E36+E31+E29+E26+E21+E16+E12+E4+E40+E42</f>
        <v>158275986.91000003</v>
      </c>
      <c r="F44" s="38">
        <f t="shared" si="1"/>
        <v>100.86191012159334</v>
      </c>
      <c r="G44" s="39"/>
      <c r="H44" s="57"/>
      <c r="I44" s="51"/>
      <c r="J44" s="44"/>
    </row>
    <row r="45" spans="1:10" s="41" customFormat="1" ht="37.5">
      <c r="A45" s="62"/>
      <c r="B45" s="56" t="s">
        <v>117</v>
      </c>
      <c r="C45" s="27">
        <f>Доходы!D28-Расходы!C44</f>
        <v>-7009079.180000007</v>
      </c>
      <c r="D45" s="27">
        <f>Доходы!E28-Расходы!D44</f>
        <v>2131689.4200000092</v>
      </c>
      <c r="E45" s="27">
        <f>Доходы!F28-Расходы!E44</f>
        <v>-8929679.160000026</v>
      </c>
      <c r="F45" s="38">
        <f t="shared" si="1"/>
        <v>127.40160198903641</v>
      </c>
      <c r="G45" s="39"/>
      <c r="H45" s="64"/>
      <c r="I45" s="65"/>
      <c r="J45" s="66"/>
    </row>
    <row r="46" spans="1:8" ht="18.75">
      <c r="A46" s="67"/>
      <c r="B46" s="68"/>
      <c r="C46" s="69"/>
      <c r="D46" s="69"/>
      <c r="E46" s="70"/>
      <c r="F46" s="29"/>
      <c r="H46" s="71"/>
    </row>
    <row r="47" spans="1:8" ht="18.75">
      <c r="A47" s="67"/>
      <c r="B47" s="68"/>
      <c r="C47" s="69"/>
      <c r="D47" s="69"/>
      <c r="H47" s="72"/>
    </row>
    <row r="48" spans="1:7" ht="18.75">
      <c r="A48" s="67"/>
      <c r="B48" s="68"/>
      <c r="C48" s="69"/>
      <c r="D48" s="69"/>
      <c r="G48" s="73"/>
    </row>
    <row r="49" ht="19.5">
      <c r="A49" s="74"/>
    </row>
    <row r="50" ht="19.5">
      <c r="A50" s="74"/>
    </row>
    <row r="51" ht="18.75">
      <c r="A51" s="76"/>
    </row>
  </sheetData>
  <sheetProtection/>
  <printOptions/>
  <pageMargins left="0.984251968503937" right="0.3937007874015748" top="0.7874015748031497" bottom="0.3937007874015748" header="0.31496062992125984" footer="0.3149606299212598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zoomScalePageLayoutView="0" workbookViewId="0" topLeftCell="A1">
      <selection activeCell="A22" sqref="A22"/>
    </sheetView>
  </sheetViews>
  <sheetFormatPr defaultColWidth="9.00390625" defaultRowHeight="12.75"/>
  <cols>
    <col min="1" max="1" width="34.00390625" style="1" customWidth="1"/>
    <col min="2" max="2" width="38.25390625" style="1" customWidth="1"/>
    <col min="3" max="3" width="20.375" style="1" customWidth="1"/>
    <col min="4" max="4" width="18.75390625" style="1" customWidth="1"/>
    <col min="5" max="5" width="19.125" style="1" customWidth="1"/>
    <col min="6" max="6" width="14.75390625" style="1" customWidth="1"/>
    <col min="7" max="7" width="17.25390625" style="1" customWidth="1"/>
    <col min="8" max="16384" width="9.125" style="1" customWidth="1"/>
  </cols>
  <sheetData>
    <row r="1" spans="1:6" s="6" customFormat="1" ht="29.25" customHeight="1">
      <c r="A1" s="122" t="s">
        <v>124</v>
      </c>
      <c r="B1" s="122"/>
      <c r="C1" s="5"/>
      <c r="D1" s="5"/>
      <c r="E1" s="4"/>
      <c r="F1" s="8"/>
    </row>
    <row r="2" spans="1:6" ht="153" customHeight="1">
      <c r="A2" s="2" t="s">
        <v>101</v>
      </c>
      <c r="B2" s="2" t="s">
        <v>102</v>
      </c>
      <c r="C2" s="3" t="s">
        <v>152</v>
      </c>
      <c r="D2" s="2" t="s">
        <v>151</v>
      </c>
      <c r="E2" s="2" t="s">
        <v>148</v>
      </c>
      <c r="F2" s="2" t="s">
        <v>149</v>
      </c>
    </row>
    <row r="3" spans="1:7" ht="60" customHeight="1" hidden="1">
      <c r="A3" s="2" t="s">
        <v>104</v>
      </c>
      <c r="B3" s="12" t="s">
        <v>143</v>
      </c>
      <c r="C3" s="89">
        <f>0</f>
        <v>0</v>
      </c>
      <c r="D3" s="89">
        <f>0</f>
        <v>0</v>
      </c>
      <c r="E3" s="80">
        <f>0</f>
        <v>0</v>
      </c>
      <c r="F3" s="90" t="e">
        <f>E3/C3*100</f>
        <v>#DIV/0!</v>
      </c>
      <c r="G3" s="84"/>
    </row>
    <row r="4" spans="1:7" ht="57" customHeight="1">
      <c r="A4" s="7" t="s">
        <v>97</v>
      </c>
      <c r="B4" s="12" t="s">
        <v>98</v>
      </c>
      <c r="C4" s="90">
        <f>7099079.18</f>
        <v>7099079.18</v>
      </c>
      <c r="D4" s="91">
        <f>-2131689.42</f>
        <v>-2131689.42</v>
      </c>
      <c r="E4" s="9">
        <f>Доходы!F28-Расходы!E44+Источники!E3</f>
        <v>-8929679.160000026</v>
      </c>
      <c r="F4" s="90">
        <f>E4/C4*100</f>
        <v>-125.78644262987395</v>
      </c>
      <c r="G4" s="84"/>
    </row>
    <row r="5" spans="1:7" s="13" customFormat="1" ht="56.25">
      <c r="A5" s="42" t="s">
        <v>103</v>
      </c>
      <c r="B5" s="11" t="s">
        <v>99</v>
      </c>
      <c r="C5" s="10">
        <f>SUM(C3:C4)</f>
        <v>7099079.18</v>
      </c>
      <c r="D5" s="10">
        <f>SUM(D3:D4)</f>
        <v>-2131689.42</v>
      </c>
      <c r="E5" s="10">
        <f>Доходы!F28-Расходы!E44</f>
        <v>-8929679.160000026</v>
      </c>
      <c r="F5" s="10">
        <f>E5/C5*100</f>
        <v>-125.78644262987395</v>
      </c>
      <c r="G5" s="85"/>
    </row>
  </sheetData>
  <sheetProtection/>
  <mergeCells count="1">
    <mergeCell ref="A1:B1"/>
  </mergeCells>
  <printOptions/>
  <pageMargins left="0.984251968503937" right="0.3937007874015748" top="0.7874015748031497" bottom="0.3937007874015748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Гагаева Н.А.</dc:creator>
  <cp:keywords/>
  <dc:description/>
  <cp:lastModifiedBy>Жирякова</cp:lastModifiedBy>
  <cp:lastPrinted>2020-07-16T07:35:15Z</cp:lastPrinted>
  <dcterms:created xsi:type="dcterms:W3CDTF">2006-11-14T10:25:35Z</dcterms:created>
  <dcterms:modified xsi:type="dcterms:W3CDTF">2022-11-07T07:02:23Z</dcterms:modified>
  <cp:category/>
  <cp:version/>
  <cp:contentType/>
  <cp:contentStatus/>
</cp:coreProperties>
</file>