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'Источники'!$A$1:$F$5</definedName>
    <definedName name="_xlnm.Print_Area" localSheetId="1">'Расходы'!$A$1:$F$40</definedName>
  </definedNames>
  <calcPr fullCalcOnLoad="1"/>
</workbook>
</file>

<file path=xl/sharedStrings.xml><?xml version="1.0" encoding="utf-8"?>
<sst xmlns="http://schemas.openxmlformats.org/spreadsheetml/2006/main" count="146" uniqueCount="141">
  <si>
    <t>Общегосударственные вопросы</t>
  </si>
  <si>
    <t>Резервные фонды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</si>
  <si>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</si>
  <si>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</si>
  <si>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</si>
  <si>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</si>
  <si>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</si>
  <si>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</si>
  <si>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</si>
  <si>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</si>
  <si>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</si>
  <si>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</si>
  <si>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</si>
  <si>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0100</t>
  </si>
  <si>
    <t>0102</t>
  </si>
  <si>
    <t>0103</t>
  </si>
  <si>
    <t>0300</t>
  </si>
  <si>
    <t>0309</t>
  </si>
  <si>
    <t>0400</t>
  </si>
  <si>
    <t>0500</t>
  </si>
  <si>
    <t>0501</t>
  </si>
  <si>
    <t>0502</t>
  </si>
  <si>
    <t>0700</t>
  </si>
  <si>
    <t>0707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</si>
  <si>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</si>
  <si>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</si>
  <si>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</si>
  <si>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</si>
  <si>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</si>
  <si>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</si>
  <si>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</si>
  <si>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</si>
  <si>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</si>
  <si>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</si>
  <si>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</si>
  <si>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</si>
  <si>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</si>
  <si>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</si>
  <si>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</si>
  <si>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</si>
  <si>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</si>
  <si>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</si>
  <si>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</si>
  <si>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</si>
  <si>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</si>
  <si>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</si>
  <si>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</si>
  <si>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</si>
  <si>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ИТОГО налоговые доходы</t>
  </si>
  <si>
    <t>Прочие неналоговые доходы</t>
  </si>
  <si>
    <t>ИТОГО неналоговые доходы</t>
  </si>
  <si>
    <t>0113</t>
  </si>
  <si>
    <t xml:space="preserve">0409 </t>
  </si>
  <si>
    <t>Физическая культура и спорт</t>
  </si>
  <si>
    <t>1102</t>
  </si>
  <si>
    <t>Массовый спорт</t>
  </si>
  <si>
    <t>0503</t>
  </si>
  <si>
    <t>Благоустройство</t>
  </si>
  <si>
    <t>000 1 00 00000 00 0000 000</t>
  </si>
  <si>
    <r>
      <t xml:space="preserve">НАЛОГОВЫЕ И НЕНАЛОГОВЫЕ ДОХОДЫ    </t>
    </r>
  </si>
  <si>
    <t xml:space="preserve">Налоги на прибыль, доходы         </t>
  </si>
  <si>
    <t xml:space="preserve">Налоги на совокупный доход                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</si>
  <si>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</si>
  <si>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</si>
  <si>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</si>
  <si>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</si>
  <si>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</si>
  <si>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</si>
  <si>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</si>
  <si>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</si>
  <si>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</si>
  <si>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</si>
  <si>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</si>
  <si>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</si>
  <si>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</si>
  <si>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</si>
  <si>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</si>
  <si>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</si>
  <si>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t xml:space="preserve">Иные межбюджетные трансферты                           </t>
  </si>
  <si>
    <t xml:space="preserve"> 000 2 19 00000 00 0000 000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</si>
  <si>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</si>
  <si>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</si>
  <si>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</si>
  <si>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</si>
  <si>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</si>
  <si>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</si>
  <si>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</si>
  <si>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</si>
  <si>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 xml:space="preserve">Культура, кинематография </t>
  </si>
  <si>
    <t>2. Расходы</t>
  </si>
  <si>
    <t>1.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</si>
  <si>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</si>
  <si>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</si>
  <si>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Раздел, под-раздел</t>
  </si>
  <si>
    <t xml:space="preserve">Функционирование высшего должностного лица субъекта Российской Федерации и муниципального образования
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</si>
  <si>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</si>
  <si>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</si>
  <si>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</si>
  <si>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</si>
  <si>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000 01 05 00 00 00 0000 000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</si>
  <si>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</si>
  <si>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</si>
  <si>
    <t>Молодежная политика</t>
  </si>
  <si>
    <t>Обслуживание государственного внутреннего и муниципального долга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</si>
  <si>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</si>
  <si>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</si>
  <si>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</si>
  <si>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</si>
  <si>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</si>
  <si>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ВСЕГО ДОХОДОВ:</t>
  </si>
  <si>
    <t>ВСЕГО РАСХОДОВ:</t>
  </si>
  <si>
    <t xml:space="preserve">Дотации бюджетам бюджетной системы Российской Федерации            </t>
  </si>
  <si>
    <r>
      <t xml:space="preserve">Субвенции бюджетам бюджетной системы Российской Федерации            </t>
    </r>
    <r>
      <rPr>
        <i/>
        <sz val="14"/>
        <color indexed="8"/>
        <rFont val="Times New Roman"/>
        <family val="1"/>
      </rPr>
      <t xml:space="preserve">  </t>
    </r>
  </si>
  <si>
    <t>БЕЗВОЗМЕЗДНЫЕ ПОСТУПЛЕНИЯ ОТ ДРУГИХ БЮДЖЕТОВ БЮДЖЕТНОЙ СИСТЕМЫ РОССИЙСКОЙ ФЕДЕРАЦИИ</t>
  </si>
  <si>
    <t>0310</t>
  </si>
  <si>
    <t>Обеспечение пожарной безопасности</t>
  </si>
  <si>
    <t>Обслуживание государственного и муниципального долга</t>
  </si>
  <si>
    <t>000 1 01 00000 00 0000 000</t>
  </si>
  <si>
    <t>000 1 03 00000 00 0000 000</t>
  </si>
  <si>
    <t>000 1 05 00000 00 0000 000</t>
  </si>
  <si>
    <t>000 1 06 00000 00 0000 110</t>
  </si>
  <si>
    <t>000 1 11 00000 00 0000 000</t>
  </si>
  <si>
    <t>000 1 13 00000 00 0000 000</t>
  </si>
  <si>
    <t>000 1 14 00000 00 0000 000</t>
  </si>
  <si>
    <t>Результат исполнения бюджета ("-" дефицит / "+" профицит )</t>
  </si>
  <si>
    <t>Ожидаемое исполнение бюджета Южского городского поселения за 2018 год</t>
  </si>
  <si>
    <t>Исполнение бюджета за 2017 год (руб.)</t>
  </si>
  <si>
    <t>Утверждено решением о бюджете (с учетом внесённых изменений  до 01.08.2018) (руб.)</t>
  </si>
  <si>
    <t>Исполнение бюджета на 01.08.2018 (руб.)</t>
  </si>
  <si>
    <t>Ожидаемое исполнение бюджета за 2018 год (руб.)</t>
  </si>
  <si>
    <t>Ожидаемое исполнение бюджета за 2018 год, (%)</t>
  </si>
  <si>
    <t xml:space="preserve">000 2 02 10000 00 0000 000 </t>
  </si>
  <si>
    <t>000  2 02 20000 00 0000  000</t>
  </si>
  <si>
    <t>000  2 02 30000 00 0000  000</t>
  </si>
  <si>
    <t>000 2 02 40000 00 0000 000</t>
  </si>
  <si>
    <t>Утверждено решением о бюджете (с учетом внесённых изменений  до 01.08.2018 года) (руб.)</t>
  </si>
  <si>
    <t>Исполнение бюджета на 01.08.2018 года (руб.)</t>
  </si>
  <si>
    <t>Код классификации доходов бюджетов Российской Федерации</t>
  </si>
  <si>
    <t>Наименование доходов</t>
  </si>
  <si>
    <t xml:space="preserve">Утверждено решением о бюджете (с учетом внесённых изменений  до 01.08.2018 года) (руб.) </t>
  </si>
  <si>
    <t>3. Источники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</si>
</sst>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Courier New"/>
      <family val="3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42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6" fillId="0" borderId="15" xfId="0" applyNumberFormat="1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2" fontId="6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4" fillId="0" borderId="13" xfId="0" applyNumberFormat="1" applyFont="1" applyFill="1" applyBorder="1" applyAlignment="1">
      <alignment horizontal="justify" vertical="top" wrapText="1"/>
    </xf>
    <xf numFmtId="2" fontId="6" fillId="0" borderId="13" xfId="0" applyNumberFormat="1" applyFont="1" applyFill="1" applyBorder="1" applyAlignment="1">
      <alignment horizontal="justify" vertical="center" wrapText="1"/>
    </xf>
    <xf numFmtId="2" fontId="3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49" fontId="47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48" fillId="0" borderId="0" xfId="0" applyNumberFormat="1" applyFont="1" applyFill="1" applyAlignment="1">
      <alignment horizontal="left" vertical="center"/>
    </xf>
    <xf numFmtId="176" fontId="48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 horizontal="justify" vertical="center" wrapText="1"/>
      <protection locked="0"/>
    </xf>
    <xf numFmtId="2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91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48" fillId="0" borderId="0" xfId="0" applyNumberFormat="1" applyFont="1" applyFill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50" fillId="0" borderId="0" xfId="0" applyNumberFormat="1" applyFont="1" applyFill="1" applyAlignment="1">
      <alignment horizontal="left" vertical="center"/>
    </xf>
    <xf numFmtId="4" fontId="50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33.875" style="43" customWidth="1"/>
    <col min="2" max="2" width="44.00390625" style="44" customWidth="1"/>
    <col min="3" max="3" width="18.75390625" style="45" customWidth="1"/>
    <col min="4" max="4" width="18.875" style="21" customWidth="1"/>
    <col min="5" max="5" width="18.75390625" style="21" customWidth="1"/>
    <col min="6" max="6" width="18.625" style="21" customWidth="1"/>
    <col min="7" max="7" width="14.875" style="21" customWidth="1"/>
    <col min="8" max="8" width="12.125" style="24" customWidth="1"/>
    <col min="9" max="9" width="10.00390625" style="24" customWidth="1"/>
    <col min="10" max="16384" width="9.125" style="24" customWidth="1"/>
  </cols>
  <sheetData>
    <row r="1" spans="1:7" s="20" customFormat="1" ht="27.75" customHeight="1">
      <c r="A1" s="109" t="s">
        <v>125</v>
      </c>
      <c r="B1" s="109"/>
      <c r="C1" s="109"/>
      <c r="D1" s="109"/>
      <c r="E1" s="109"/>
      <c r="F1" s="109"/>
      <c r="G1" s="109"/>
    </row>
    <row r="2" spans="1:7" s="20" customFormat="1" ht="25.5" customHeight="1">
      <c r="A2" s="108" t="s">
        <v>90</v>
      </c>
      <c r="B2" s="108"/>
      <c r="C2" s="52"/>
      <c r="D2" s="53"/>
      <c r="E2" s="53"/>
      <c r="F2" s="22"/>
      <c r="G2" s="23"/>
    </row>
    <row r="3" spans="1:8" s="20" customFormat="1" ht="154.5" customHeight="1">
      <c r="A3" s="25" t="s">
        <v>137</v>
      </c>
      <c r="B3" s="25" t="s">
        <v>138</v>
      </c>
      <c r="C3" s="26" t="s">
        <v>126</v>
      </c>
      <c r="D3" s="27" t="s">
        <v>127</v>
      </c>
      <c r="E3" s="26" t="s">
        <v>128</v>
      </c>
      <c r="F3" s="26" t="s">
        <v>129</v>
      </c>
      <c r="G3" s="26" t="s">
        <v>130</v>
      </c>
      <c r="H3" s="28"/>
    </row>
    <row r="4" spans="1:9" ht="18.75">
      <c r="A4" s="29">
        <v>1</v>
      </c>
      <c r="B4" s="30">
        <v>2</v>
      </c>
      <c r="C4" s="111">
        <v>3</v>
      </c>
      <c r="D4" s="31" t="s">
        <v>80</v>
      </c>
      <c r="E4" s="31" t="s">
        <v>81</v>
      </c>
      <c r="F4" s="31" t="s">
        <v>82</v>
      </c>
      <c r="G4" s="31" t="s">
        <v>83</v>
      </c>
      <c r="I4" s="32"/>
    </row>
    <row r="5" spans="1:9" ht="37.5">
      <c r="A5" s="7" t="s">
        <v>58</v>
      </c>
      <c r="B5" s="5" t="s">
        <v>59</v>
      </c>
      <c r="C5" s="12">
        <f>C12+C19</f>
        <v>40378977.07</v>
      </c>
      <c r="D5" s="12">
        <f>D12+D19</f>
        <v>38392887.12</v>
      </c>
      <c r="E5" s="12">
        <f>E12+E19</f>
        <v>24018336.72</v>
      </c>
      <c r="F5" s="12">
        <f>F12+F19</f>
        <v>40907768.86</v>
      </c>
      <c r="G5" s="33">
        <f aca="true" t="shared" si="0" ref="G5:G10">F5/D5*100</f>
        <v>106.55038453383186</v>
      </c>
      <c r="I5" s="34"/>
    </row>
    <row r="6" spans="1:9" ht="21.75" customHeight="1">
      <c r="A6" s="8" t="s">
        <v>117</v>
      </c>
      <c r="B6" s="56" t="s">
        <v>60</v>
      </c>
      <c r="C6" s="13">
        <v>30745871.31</v>
      </c>
      <c r="D6" s="13">
        <v>30306058.89</v>
      </c>
      <c r="E6" s="13">
        <v>18866365.49</v>
      </c>
      <c r="F6" s="13">
        <f>35037535.91-3000000</f>
        <v>32037535.909999996</v>
      </c>
      <c r="G6" s="15">
        <f t="shared" si="0"/>
        <v>105.71330315922842</v>
      </c>
      <c r="H6" s="106"/>
      <c r="I6" s="35"/>
    </row>
    <row r="7" spans="1:9" ht="58.5" customHeight="1">
      <c r="A7" s="8" t="s">
        <v>118</v>
      </c>
      <c r="B7" s="57" t="s">
        <v>84</v>
      </c>
      <c r="C7" s="104">
        <v>1676000.37</v>
      </c>
      <c r="D7" s="15">
        <v>1717480.11</v>
      </c>
      <c r="E7" s="15">
        <v>1008422.77</v>
      </c>
      <c r="F7" s="15">
        <f>1713826.81</f>
        <v>1713826.81</v>
      </c>
      <c r="G7" s="15">
        <f t="shared" si="0"/>
        <v>99.78728720182966</v>
      </c>
      <c r="H7" s="69"/>
      <c r="I7" s="70"/>
    </row>
    <row r="8" spans="1:9" ht="21" customHeight="1">
      <c r="A8" s="8" t="s">
        <v>119</v>
      </c>
      <c r="B8" s="58" t="s">
        <v>61</v>
      </c>
      <c r="C8" s="112">
        <v>0</v>
      </c>
      <c r="D8" s="15">
        <v>4500</v>
      </c>
      <c r="E8" s="15">
        <v>5750</v>
      </c>
      <c r="F8" s="15">
        <f>5750</f>
        <v>5750</v>
      </c>
      <c r="G8" s="15">
        <f t="shared" si="0"/>
        <v>127.77777777777777</v>
      </c>
      <c r="I8" s="32"/>
    </row>
    <row r="9" spans="1:9" ht="21.75" customHeight="1">
      <c r="A9" s="8" t="s">
        <v>120</v>
      </c>
      <c r="B9" s="59" t="s">
        <v>62</v>
      </c>
      <c r="C9" s="112">
        <v>4115411.96</v>
      </c>
      <c r="D9" s="15">
        <v>4210327</v>
      </c>
      <c r="E9" s="15">
        <v>1343044.98</v>
      </c>
      <c r="F9" s="15">
        <f>3510327</f>
        <v>3510327</v>
      </c>
      <c r="G9" s="15">
        <f t="shared" si="0"/>
        <v>83.37421297680679</v>
      </c>
      <c r="H9" s="102"/>
      <c r="I9" s="32"/>
    </row>
    <row r="10" spans="1:9" ht="18.75" hidden="1">
      <c r="A10" s="8" t="s">
        <v>63</v>
      </c>
      <c r="B10" s="59" t="s">
        <v>64</v>
      </c>
      <c r="C10" s="112"/>
      <c r="D10" s="15"/>
      <c r="E10" s="15"/>
      <c r="F10" s="15"/>
      <c r="G10" s="15" t="e">
        <f t="shared" si="0"/>
        <v>#DIV/0!</v>
      </c>
      <c r="I10" s="32"/>
    </row>
    <row r="11" spans="1:9" ht="0.75" customHeight="1" hidden="1">
      <c r="A11" s="36" t="s">
        <v>65</v>
      </c>
      <c r="B11" s="60" t="s">
        <v>66</v>
      </c>
      <c r="C11" s="112"/>
      <c r="D11" s="15"/>
      <c r="E11" s="15"/>
      <c r="F11" s="15"/>
      <c r="G11" s="15">
        <v>0</v>
      </c>
      <c r="I11" s="32"/>
    </row>
    <row r="12" spans="1:9" ht="18.75">
      <c r="A12" s="36"/>
      <c r="B12" s="61" t="s">
        <v>48</v>
      </c>
      <c r="C12" s="33">
        <f>SUM(C6:C11)</f>
        <v>36537283.64</v>
      </c>
      <c r="D12" s="33">
        <f>SUM(D6:D11)</f>
        <v>36238366</v>
      </c>
      <c r="E12" s="33">
        <f>SUM(E6:E11)</f>
        <v>21223583.24</v>
      </c>
      <c r="F12" s="33">
        <f>SUM(F6:F11)</f>
        <v>37267439.72</v>
      </c>
      <c r="G12" s="33">
        <f>F12/D12*100</f>
        <v>102.83973543398727</v>
      </c>
      <c r="I12" s="32"/>
    </row>
    <row r="13" spans="1:9" ht="74.25" customHeight="1">
      <c r="A13" s="8" t="s">
        <v>121</v>
      </c>
      <c r="B13" s="59" t="s">
        <v>67</v>
      </c>
      <c r="C13" s="112">
        <v>3638694.58</v>
      </c>
      <c r="D13" s="15">
        <v>1955653.12</v>
      </c>
      <c r="E13" s="15">
        <v>2307665.56</v>
      </c>
      <c r="F13" s="15">
        <f>700000+90000+2244669.14</f>
        <v>3034669.14</v>
      </c>
      <c r="G13" s="15">
        <f>F13/D13*100</f>
        <v>155.17420287704192</v>
      </c>
      <c r="H13" s="101"/>
      <c r="I13" s="32"/>
    </row>
    <row r="14" spans="1:9" ht="43.5" customHeight="1" hidden="1">
      <c r="A14" s="8" t="s">
        <v>68</v>
      </c>
      <c r="B14" s="59" t="s">
        <v>69</v>
      </c>
      <c r="C14" s="112"/>
      <c r="D14" s="15"/>
      <c r="E14" s="15"/>
      <c r="F14" s="15"/>
      <c r="G14" s="15" t="e">
        <f>F14/D14*100</f>
        <v>#DIV/0!</v>
      </c>
      <c r="I14" s="32"/>
    </row>
    <row r="15" spans="1:9" ht="57" customHeight="1">
      <c r="A15" s="8" t="s">
        <v>122</v>
      </c>
      <c r="B15" s="60" t="s">
        <v>70</v>
      </c>
      <c r="C15" s="112">
        <v>17398.71</v>
      </c>
      <c r="D15" s="15">
        <v>0</v>
      </c>
      <c r="E15" s="15">
        <v>0</v>
      </c>
      <c r="F15" s="15">
        <v>0</v>
      </c>
      <c r="G15" s="15">
        <v>0</v>
      </c>
      <c r="I15" s="32"/>
    </row>
    <row r="16" spans="1:9" ht="39.75" customHeight="1">
      <c r="A16" s="8" t="s">
        <v>123</v>
      </c>
      <c r="B16" s="59" t="s">
        <v>71</v>
      </c>
      <c r="C16" s="112">
        <v>155259.68</v>
      </c>
      <c r="D16" s="15">
        <v>198868</v>
      </c>
      <c r="E16" s="15">
        <v>486587.92</v>
      </c>
      <c r="F16" s="15">
        <f>110000+495160</f>
        <v>605160</v>
      </c>
      <c r="G16" s="15">
        <f>F16/D16*100</f>
        <v>304.3023513084056</v>
      </c>
      <c r="H16" s="101"/>
      <c r="I16" s="32"/>
    </row>
    <row r="17" spans="1:9" ht="39" customHeight="1">
      <c r="A17" s="8" t="s">
        <v>72</v>
      </c>
      <c r="B17" s="59" t="s">
        <v>73</v>
      </c>
      <c r="C17" s="112">
        <v>30340.46</v>
      </c>
      <c r="D17" s="15">
        <v>0</v>
      </c>
      <c r="E17" s="15">
        <v>500</v>
      </c>
      <c r="F17" s="15">
        <f>500</f>
        <v>500</v>
      </c>
      <c r="G17" s="15">
        <v>0</v>
      </c>
      <c r="I17" s="32"/>
    </row>
    <row r="18" spans="1:9" ht="18" customHeight="1" hidden="1">
      <c r="A18" s="8" t="s">
        <v>74</v>
      </c>
      <c r="B18" s="59" t="s">
        <v>49</v>
      </c>
      <c r="C18" s="112"/>
      <c r="D18" s="15"/>
      <c r="E18" s="15"/>
      <c r="F18" s="15"/>
      <c r="G18" s="15">
        <v>0</v>
      </c>
      <c r="I18" s="32"/>
    </row>
    <row r="19" spans="1:9" ht="18.75">
      <c r="A19" s="8"/>
      <c r="B19" s="61" t="s">
        <v>50</v>
      </c>
      <c r="C19" s="33">
        <f>SUM(C13:C18)</f>
        <v>3841693.43</v>
      </c>
      <c r="D19" s="33">
        <f>SUM(D13:D18)</f>
        <v>2154521.12</v>
      </c>
      <c r="E19" s="33">
        <f>SUM(E13:E18)</f>
        <v>2794753.48</v>
      </c>
      <c r="F19" s="33">
        <f>SUM(F13:F18)</f>
        <v>3640329.14</v>
      </c>
      <c r="G19" s="33">
        <f aca="true" t="shared" si="1" ref="G19:G27">F19/D19*100</f>
        <v>168.96233256696968</v>
      </c>
      <c r="I19" s="32"/>
    </row>
    <row r="20" spans="1:9" ht="37.5">
      <c r="A20" s="7" t="s">
        <v>75</v>
      </c>
      <c r="B20" s="62" t="s">
        <v>76</v>
      </c>
      <c r="C20" s="33">
        <f>C21+C26</f>
        <v>38277040.97</v>
      </c>
      <c r="D20" s="33">
        <f>D21+D26</f>
        <v>42656403.300000004</v>
      </c>
      <c r="E20" s="33">
        <f>E21+E26</f>
        <v>23967766.959999997</v>
      </c>
      <c r="F20" s="33">
        <f>F21+F26</f>
        <v>42656403.300000004</v>
      </c>
      <c r="G20" s="33">
        <f t="shared" si="1"/>
        <v>100</v>
      </c>
      <c r="I20" s="32"/>
    </row>
    <row r="21" spans="1:9" ht="93" customHeight="1">
      <c r="A21" s="7" t="s">
        <v>77</v>
      </c>
      <c r="B21" s="63" t="s">
        <v>113</v>
      </c>
      <c r="C21" s="33">
        <f>SUM(C22:C25)</f>
        <v>38277040.97</v>
      </c>
      <c r="D21" s="33">
        <f>SUM(D22:D25)</f>
        <v>43215401.78</v>
      </c>
      <c r="E21" s="37">
        <f>SUM(E22:E25)</f>
        <v>24526765.439999998</v>
      </c>
      <c r="F21" s="37">
        <f>SUM(F22:F25)</f>
        <v>43215401.78</v>
      </c>
      <c r="G21" s="33">
        <f t="shared" si="1"/>
        <v>100</v>
      </c>
      <c r="I21" s="32"/>
    </row>
    <row r="22" spans="1:9" ht="40.5" customHeight="1">
      <c r="A22" s="54" t="s">
        <v>131</v>
      </c>
      <c r="B22" s="59" t="s">
        <v>111</v>
      </c>
      <c r="C22" s="15">
        <v>21617200</v>
      </c>
      <c r="D22" s="15">
        <v>23043100</v>
      </c>
      <c r="E22" s="15">
        <v>13989475</v>
      </c>
      <c r="F22" s="38">
        <f>23043100</f>
        <v>23043100</v>
      </c>
      <c r="G22" s="15">
        <f t="shared" si="1"/>
        <v>100</v>
      </c>
      <c r="I22" s="32"/>
    </row>
    <row r="23" spans="1:8" ht="57" customHeight="1">
      <c r="A23" s="54" t="s">
        <v>132</v>
      </c>
      <c r="B23" s="60" t="s">
        <v>85</v>
      </c>
      <c r="C23" s="112">
        <v>14319840.97</v>
      </c>
      <c r="D23" s="15">
        <v>20147771.21</v>
      </c>
      <c r="E23" s="15">
        <v>10512759.87</v>
      </c>
      <c r="F23" s="15">
        <f>20147771.21</f>
        <v>20147771.21</v>
      </c>
      <c r="G23" s="15">
        <f t="shared" si="1"/>
        <v>100</v>
      </c>
      <c r="H23" s="102"/>
    </row>
    <row r="24" spans="1:9" ht="42" customHeight="1">
      <c r="A24" s="55" t="s">
        <v>133</v>
      </c>
      <c r="B24" s="67" t="s">
        <v>112</v>
      </c>
      <c r="C24" s="112">
        <v>0</v>
      </c>
      <c r="D24" s="15">
        <v>24530.57</v>
      </c>
      <c r="E24" s="15">
        <v>24530.57</v>
      </c>
      <c r="F24" s="15">
        <f>24530.57</f>
        <v>24530.57</v>
      </c>
      <c r="G24" s="15">
        <v>0</v>
      </c>
      <c r="I24" s="32"/>
    </row>
    <row r="25" spans="1:9" s="20" customFormat="1" ht="26.25" customHeight="1">
      <c r="A25" s="54" t="s">
        <v>134</v>
      </c>
      <c r="B25" s="64" t="s">
        <v>78</v>
      </c>
      <c r="C25" s="112">
        <v>2340000</v>
      </c>
      <c r="D25" s="15">
        <v>0</v>
      </c>
      <c r="E25" s="15">
        <v>0</v>
      </c>
      <c r="F25" s="15">
        <f>0</f>
        <v>0</v>
      </c>
      <c r="G25" s="15">
        <v>0</v>
      </c>
      <c r="I25" s="42"/>
    </row>
    <row r="26" spans="1:9" s="40" customFormat="1" ht="75" customHeight="1">
      <c r="A26" s="39" t="s">
        <v>79</v>
      </c>
      <c r="B26" s="65" t="s">
        <v>91</v>
      </c>
      <c r="C26" s="113">
        <v>0</v>
      </c>
      <c r="D26" s="33">
        <v>-558998.48</v>
      </c>
      <c r="E26" s="33">
        <v>-558998.48</v>
      </c>
      <c r="F26" s="33">
        <v>-558998.48</v>
      </c>
      <c r="G26" s="33">
        <f t="shared" si="1"/>
        <v>100</v>
      </c>
      <c r="I26" s="41"/>
    </row>
    <row r="27" spans="1:9" s="20" customFormat="1" ht="22.5" customHeight="1">
      <c r="A27" s="31"/>
      <c r="B27" s="66" t="s">
        <v>109</v>
      </c>
      <c r="C27" s="33">
        <f>C5+C20</f>
        <v>78656018.03999999</v>
      </c>
      <c r="D27" s="33">
        <f>D5+D20</f>
        <v>81049290.42</v>
      </c>
      <c r="E27" s="37">
        <f>E5+E20</f>
        <v>47986103.67999999</v>
      </c>
      <c r="F27" s="37">
        <f>F5+F20</f>
        <v>83564172.16</v>
      </c>
      <c r="G27" s="33">
        <f t="shared" si="1"/>
        <v>103.10290408092138</v>
      </c>
      <c r="I27" s="42"/>
    </row>
    <row r="29" ht="16.5" customHeight="1"/>
  </sheetData>
  <sheetProtection/>
  <mergeCells count="2">
    <mergeCell ref="A2:B2"/>
    <mergeCell ref="A1:G1"/>
  </mergeCells>
  <printOptions/>
  <pageMargins left="0.984251968503937" right="0.3937007874015748" top="0.7874015748031497" bottom="0.3937007874015748" header="0.31496062992125984" footer="0.31496062992125984"/>
  <pageSetup fitToHeight="0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96" zoomScaleNormal="96" zoomScalePageLayoutView="0" workbookViewId="0" topLeftCell="A13">
      <selection activeCell="I39" sqref="I39"/>
    </sheetView>
  </sheetViews>
  <sheetFormatPr defaultColWidth="9.00390625" defaultRowHeight="12.75"/>
  <cols>
    <col min="1" max="1" width="9.875" style="100" customWidth="1"/>
    <col min="2" max="2" width="61.75390625" style="98" customWidth="1"/>
    <col min="3" max="3" width="23.25390625" style="21" customWidth="1"/>
    <col min="4" max="4" width="20.125" style="21" customWidth="1"/>
    <col min="5" max="5" width="22.125" style="21" customWidth="1"/>
    <col min="6" max="6" width="22.25390625" style="24" customWidth="1"/>
    <col min="7" max="7" width="21.25390625" style="24" customWidth="1"/>
    <col min="8" max="8" width="13.00390625" style="74" customWidth="1"/>
    <col min="9" max="9" width="18.25390625" style="24" customWidth="1"/>
    <col min="10" max="10" width="16.25390625" style="24" customWidth="1"/>
    <col min="11" max="11" width="17.375" style="24" customWidth="1"/>
    <col min="12" max="12" width="16.375" style="24" customWidth="1"/>
    <col min="13" max="13" width="18.25390625" style="24" customWidth="1"/>
    <col min="14" max="16384" width="9.125" style="24" customWidth="1"/>
  </cols>
  <sheetData>
    <row r="1" spans="1:8" s="20" customFormat="1" ht="23.25" customHeight="1">
      <c r="A1" s="71" t="s">
        <v>89</v>
      </c>
      <c r="B1" s="71"/>
      <c r="C1" s="53"/>
      <c r="D1" s="53"/>
      <c r="E1" s="22"/>
      <c r="F1" s="72"/>
      <c r="H1" s="73"/>
    </row>
    <row r="2" spans="1:6" ht="133.5" customHeight="1">
      <c r="A2" s="25" t="s">
        <v>93</v>
      </c>
      <c r="B2" s="25" t="s">
        <v>92</v>
      </c>
      <c r="C2" s="27" t="s">
        <v>135</v>
      </c>
      <c r="D2" s="26" t="s">
        <v>136</v>
      </c>
      <c r="E2" s="26" t="s">
        <v>129</v>
      </c>
      <c r="F2" s="25" t="s">
        <v>130</v>
      </c>
    </row>
    <row r="3" spans="1:6" ht="18.75">
      <c r="A3" s="29">
        <v>1</v>
      </c>
      <c r="B3" s="25">
        <v>2</v>
      </c>
      <c r="C3" s="31">
        <v>3</v>
      </c>
      <c r="D3" s="31">
        <v>4</v>
      </c>
      <c r="E3" s="75">
        <v>5</v>
      </c>
      <c r="F3" s="29">
        <v>6</v>
      </c>
    </row>
    <row r="4" spans="1:8" s="20" customFormat="1" ht="24" customHeight="1">
      <c r="A4" s="76" t="s">
        <v>13</v>
      </c>
      <c r="B4" s="77" t="s">
        <v>0</v>
      </c>
      <c r="C4" s="33">
        <f>SUM(C5:C9)</f>
        <v>6330131.0600000005</v>
      </c>
      <c r="D4" s="33">
        <f>SUM(D5:D9)</f>
        <v>3013832.1</v>
      </c>
      <c r="E4" s="33">
        <f>SUM(E5:E9)</f>
        <v>6056030.49</v>
      </c>
      <c r="F4" s="47">
        <f aca="true" t="shared" si="0" ref="F4:F9">E4/C4*100</f>
        <v>95.6699068723547</v>
      </c>
      <c r="G4" s="48"/>
      <c r="H4" s="78"/>
    </row>
    <row r="5" spans="1:8" s="20" customFormat="1" ht="57.75" customHeight="1">
      <c r="A5" s="31" t="s">
        <v>14</v>
      </c>
      <c r="B5" s="79" t="s">
        <v>94</v>
      </c>
      <c r="C5" s="15">
        <f>701756.56</f>
        <v>701756.56</v>
      </c>
      <c r="D5" s="15">
        <f>409131.02</f>
        <v>409131.02</v>
      </c>
      <c r="E5" s="15">
        <f>701756.56</f>
        <v>701756.56</v>
      </c>
      <c r="F5" s="80">
        <f t="shared" si="0"/>
        <v>100</v>
      </c>
      <c r="G5" s="48"/>
      <c r="H5" s="78"/>
    </row>
    <row r="6" spans="1:8" s="20" customFormat="1" ht="76.5" customHeight="1">
      <c r="A6" s="31" t="s">
        <v>15</v>
      </c>
      <c r="B6" s="79" t="s">
        <v>86</v>
      </c>
      <c r="C6" s="15">
        <f>1542274.26</f>
        <v>1542274.26</v>
      </c>
      <c r="D6" s="15">
        <f>865729.68</f>
        <v>865729.68</v>
      </c>
      <c r="E6" s="15">
        <f>1542274.26</f>
        <v>1542274.26</v>
      </c>
      <c r="F6" s="80">
        <f t="shared" si="0"/>
        <v>100</v>
      </c>
      <c r="G6" s="48"/>
      <c r="H6" s="78"/>
    </row>
    <row r="7" spans="1:8" s="20" customFormat="1" ht="21" customHeight="1">
      <c r="A7" s="81" t="s">
        <v>46</v>
      </c>
      <c r="B7" s="79" t="s">
        <v>47</v>
      </c>
      <c r="C7" s="15">
        <f>24530.57</f>
        <v>24530.57</v>
      </c>
      <c r="D7" s="15">
        <f>24530</f>
        <v>24530</v>
      </c>
      <c r="E7" s="15">
        <f>24530</f>
        <v>24530</v>
      </c>
      <c r="F7" s="80">
        <f t="shared" si="0"/>
        <v>99.99767636871056</v>
      </c>
      <c r="G7" s="48"/>
      <c r="H7" s="78"/>
    </row>
    <row r="8" spans="1:8" s="20" customFormat="1" ht="21" customHeight="1">
      <c r="A8" s="81" t="s">
        <v>37</v>
      </c>
      <c r="B8" s="79" t="s">
        <v>1</v>
      </c>
      <c r="C8" s="15">
        <f>274100</f>
        <v>274100</v>
      </c>
      <c r="D8" s="15">
        <f>0</f>
        <v>0</v>
      </c>
      <c r="E8" s="15">
        <f>0</f>
        <v>0</v>
      </c>
      <c r="F8" s="80">
        <f t="shared" si="0"/>
        <v>0</v>
      </c>
      <c r="G8" s="48"/>
      <c r="H8" s="78"/>
    </row>
    <row r="9" spans="1:8" s="20" customFormat="1" ht="21.75" customHeight="1">
      <c r="A9" s="81" t="s">
        <v>51</v>
      </c>
      <c r="B9" s="79" t="s">
        <v>95</v>
      </c>
      <c r="C9" s="15">
        <f>3787469.67</f>
        <v>3787469.67</v>
      </c>
      <c r="D9" s="15">
        <f>1714441.4</f>
        <v>1714441.4</v>
      </c>
      <c r="E9" s="15">
        <f>3787469.67</f>
        <v>3787469.67</v>
      </c>
      <c r="F9" s="80">
        <f t="shared" si="0"/>
        <v>100</v>
      </c>
      <c r="G9" s="48"/>
      <c r="H9" s="78"/>
    </row>
    <row r="10" spans="1:8" s="20" customFormat="1" ht="36.75" customHeight="1">
      <c r="A10" s="76" t="s">
        <v>16</v>
      </c>
      <c r="B10" s="77" t="s">
        <v>2</v>
      </c>
      <c r="C10" s="33">
        <f>SUM(C11:C13)</f>
        <v>284500</v>
      </c>
      <c r="D10" s="33">
        <f>SUM(D11:D13)</f>
        <v>89000</v>
      </c>
      <c r="E10" s="33">
        <f>SUM(E11:E12)</f>
        <v>196500</v>
      </c>
      <c r="F10" s="47">
        <f>F11</f>
        <v>100</v>
      </c>
      <c r="G10" s="48"/>
      <c r="H10" s="78"/>
    </row>
    <row r="11" spans="1:8" s="20" customFormat="1" ht="56.25" customHeight="1">
      <c r="A11" s="81" t="s">
        <v>17</v>
      </c>
      <c r="B11" s="82" t="s">
        <v>96</v>
      </c>
      <c r="C11" s="15">
        <f>37000</f>
        <v>37000</v>
      </c>
      <c r="D11" s="15">
        <f>0</f>
        <v>0</v>
      </c>
      <c r="E11" s="15">
        <f>37000</f>
        <v>37000</v>
      </c>
      <c r="F11" s="80">
        <f>E11/C11*100</f>
        <v>100</v>
      </c>
      <c r="G11" s="48"/>
      <c r="H11" s="78"/>
    </row>
    <row r="12" spans="1:8" s="20" customFormat="1" ht="21.75" customHeight="1">
      <c r="A12" s="81" t="s">
        <v>114</v>
      </c>
      <c r="B12" s="82" t="s">
        <v>115</v>
      </c>
      <c r="C12" s="15">
        <f>159500</f>
        <v>159500</v>
      </c>
      <c r="D12" s="15">
        <f>89000</f>
        <v>89000</v>
      </c>
      <c r="E12" s="15">
        <f>159500</f>
        <v>159500</v>
      </c>
      <c r="F12" s="80">
        <f>E12/C12*100</f>
        <v>100</v>
      </c>
      <c r="G12" s="48"/>
      <c r="H12" s="78"/>
    </row>
    <row r="13" spans="1:8" s="20" customFormat="1" ht="39.75" customHeight="1">
      <c r="A13" s="81" t="s">
        <v>97</v>
      </c>
      <c r="B13" s="82" t="s">
        <v>98</v>
      </c>
      <c r="C13" s="15">
        <f>88000</f>
        <v>88000</v>
      </c>
      <c r="D13" s="15">
        <v>0</v>
      </c>
      <c r="E13" s="15">
        <f>88000</f>
        <v>88000</v>
      </c>
      <c r="F13" s="80">
        <f>E13/C13*100</f>
        <v>100</v>
      </c>
      <c r="G13" s="48"/>
      <c r="H13" s="78"/>
    </row>
    <row r="14" spans="1:8" s="20" customFormat="1" ht="22.5" customHeight="1">
      <c r="A14" s="83" t="s">
        <v>18</v>
      </c>
      <c r="B14" s="77" t="s">
        <v>3</v>
      </c>
      <c r="C14" s="33">
        <f>SUM(C15:C17)</f>
        <v>24950435.89</v>
      </c>
      <c r="D14" s="33">
        <f>SUM(D15:D17)</f>
        <v>10872795.440000001</v>
      </c>
      <c r="E14" s="33">
        <f>SUM(E15:E17)</f>
        <v>24950435.89</v>
      </c>
      <c r="F14" s="47">
        <f aca="true" t="shared" si="1" ref="F14:F40">E14/C14*100</f>
        <v>100</v>
      </c>
      <c r="G14" s="48"/>
      <c r="H14" s="78"/>
    </row>
    <row r="15" spans="1:8" s="20" customFormat="1" ht="18.75">
      <c r="A15" s="31" t="s">
        <v>33</v>
      </c>
      <c r="B15" s="82" t="s">
        <v>34</v>
      </c>
      <c r="C15" s="15">
        <f>1900000</f>
        <v>1900000</v>
      </c>
      <c r="D15" s="15">
        <f>949999.98</f>
        <v>949999.98</v>
      </c>
      <c r="E15" s="15">
        <f>1900000</f>
        <v>1900000</v>
      </c>
      <c r="F15" s="80">
        <f t="shared" si="1"/>
        <v>100</v>
      </c>
      <c r="G15" s="48"/>
      <c r="H15" s="78"/>
    </row>
    <row r="16" spans="1:8" s="20" customFormat="1" ht="18.75">
      <c r="A16" s="81" t="s">
        <v>52</v>
      </c>
      <c r="B16" s="82" t="s">
        <v>87</v>
      </c>
      <c r="C16" s="15">
        <f>21222835.89</f>
        <v>21222835.89</v>
      </c>
      <c r="D16" s="15">
        <f>9895195.46</f>
        <v>9895195.46</v>
      </c>
      <c r="E16" s="15">
        <f>21222835.89</f>
        <v>21222835.89</v>
      </c>
      <c r="F16" s="80">
        <f t="shared" si="1"/>
        <v>100</v>
      </c>
      <c r="G16" s="48"/>
      <c r="H16" s="78"/>
    </row>
    <row r="17" spans="1:8" s="20" customFormat="1" ht="37.5" customHeight="1">
      <c r="A17" s="81" t="s">
        <v>38</v>
      </c>
      <c r="B17" s="82" t="s">
        <v>35</v>
      </c>
      <c r="C17" s="15">
        <f>1827600</f>
        <v>1827600</v>
      </c>
      <c r="D17" s="15">
        <f>27600</f>
        <v>27600</v>
      </c>
      <c r="E17" s="15">
        <f>1827600</f>
        <v>1827600</v>
      </c>
      <c r="F17" s="80">
        <f t="shared" si="1"/>
        <v>100</v>
      </c>
      <c r="G17" s="48"/>
      <c r="H17" s="78"/>
    </row>
    <row r="18" spans="1:8" s="20" customFormat="1" ht="18.75">
      <c r="A18" s="83" t="s">
        <v>19</v>
      </c>
      <c r="B18" s="84" t="s">
        <v>4</v>
      </c>
      <c r="C18" s="33">
        <f>SUM(C19:C21)</f>
        <v>20424790.53</v>
      </c>
      <c r="D18" s="33">
        <f>SUM(D19:D21)</f>
        <v>7286608.359999999</v>
      </c>
      <c r="E18" s="33">
        <f>SUM(E19:E21)</f>
        <v>20424790.53</v>
      </c>
      <c r="F18" s="47">
        <f t="shared" si="1"/>
        <v>100</v>
      </c>
      <c r="G18" s="48"/>
      <c r="H18" s="78"/>
    </row>
    <row r="19" spans="1:8" s="20" customFormat="1" ht="18" customHeight="1">
      <c r="A19" s="81" t="s">
        <v>20</v>
      </c>
      <c r="B19" s="82" t="s">
        <v>5</v>
      </c>
      <c r="C19" s="15">
        <f>1273946.95</f>
        <v>1273946.95</v>
      </c>
      <c r="D19" s="15">
        <f>484734.35</f>
        <v>484734.35</v>
      </c>
      <c r="E19" s="15">
        <f>1273946.95</f>
        <v>1273946.95</v>
      </c>
      <c r="F19" s="80">
        <f t="shared" si="1"/>
        <v>100</v>
      </c>
      <c r="G19" s="48"/>
      <c r="H19" s="78"/>
    </row>
    <row r="20" spans="1:8" s="20" customFormat="1" ht="18.75">
      <c r="A20" s="81" t="s">
        <v>21</v>
      </c>
      <c r="B20" s="79" t="s">
        <v>6</v>
      </c>
      <c r="C20" s="15">
        <f>3025719.94</f>
        <v>3025719.94</v>
      </c>
      <c r="D20" s="15">
        <f>1290896.84</f>
        <v>1290896.84</v>
      </c>
      <c r="E20" s="15">
        <f>3025719.94</f>
        <v>3025719.94</v>
      </c>
      <c r="F20" s="80">
        <f t="shared" si="1"/>
        <v>100</v>
      </c>
      <c r="G20" s="48"/>
      <c r="H20" s="78"/>
    </row>
    <row r="21" spans="1:8" s="20" customFormat="1" ht="18.75">
      <c r="A21" s="81" t="s">
        <v>56</v>
      </c>
      <c r="B21" s="79" t="s">
        <v>57</v>
      </c>
      <c r="C21" s="15">
        <f>16125123.64</f>
        <v>16125123.64</v>
      </c>
      <c r="D21" s="15">
        <f>5510977.17</f>
        <v>5510977.17</v>
      </c>
      <c r="E21" s="15">
        <f>16125123.64</f>
        <v>16125123.64</v>
      </c>
      <c r="F21" s="80">
        <f t="shared" si="1"/>
        <v>100</v>
      </c>
      <c r="G21" s="48"/>
      <c r="H21" s="78"/>
    </row>
    <row r="22" spans="1:8" s="20" customFormat="1" ht="18.75">
      <c r="A22" s="76" t="s">
        <v>22</v>
      </c>
      <c r="B22" s="77" t="s">
        <v>7</v>
      </c>
      <c r="C22" s="33">
        <f>SUM(C23:C23)</f>
        <v>38720</v>
      </c>
      <c r="D22" s="33">
        <f>SUM(D23:D23)</f>
        <v>36720</v>
      </c>
      <c r="E22" s="33">
        <f>SUM(E23:E23)</f>
        <v>38720</v>
      </c>
      <c r="F22" s="47">
        <f t="shared" si="1"/>
        <v>100</v>
      </c>
      <c r="G22" s="48"/>
      <c r="H22" s="78"/>
    </row>
    <row r="23" spans="1:8" s="20" customFormat="1" ht="18.75">
      <c r="A23" s="81" t="s">
        <v>23</v>
      </c>
      <c r="B23" s="82" t="s">
        <v>102</v>
      </c>
      <c r="C23" s="15">
        <f>38720</f>
        <v>38720</v>
      </c>
      <c r="D23" s="15">
        <f>36720</f>
        <v>36720</v>
      </c>
      <c r="E23" s="15">
        <f>38720</f>
        <v>38720</v>
      </c>
      <c r="F23" s="80">
        <f t="shared" si="1"/>
        <v>100</v>
      </c>
      <c r="G23" s="48"/>
      <c r="H23" s="78"/>
    </row>
    <row r="24" spans="1:8" s="20" customFormat="1" ht="19.5" customHeight="1">
      <c r="A24" s="76" t="s">
        <v>24</v>
      </c>
      <c r="B24" s="77" t="s">
        <v>88</v>
      </c>
      <c r="C24" s="33">
        <f>SUM(C25:C25)</f>
        <v>27036358.82</v>
      </c>
      <c r="D24" s="33">
        <f>SUM(D25:D25)</f>
        <v>19679892.42</v>
      </c>
      <c r="E24" s="33">
        <f>SUM(E25:E25)</f>
        <v>27036358.82</v>
      </c>
      <c r="F24" s="47">
        <f t="shared" si="1"/>
        <v>100</v>
      </c>
      <c r="G24" s="48"/>
      <c r="H24" s="78"/>
    </row>
    <row r="25" spans="1:8" s="20" customFormat="1" ht="21" customHeight="1">
      <c r="A25" s="31" t="s">
        <v>25</v>
      </c>
      <c r="B25" s="82" t="s">
        <v>8</v>
      </c>
      <c r="C25" s="15">
        <f>27036358.82</f>
        <v>27036358.82</v>
      </c>
      <c r="D25" s="15">
        <f>19679892.42</f>
        <v>19679892.42</v>
      </c>
      <c r="E25" s="15">
        <f>27036358.82</f>
        <v>27036358.82</v>
      </c>
      <c r="F25" s="80">
        <f t="shared" si="1"/>
        <v>100</v>
      </c>
      <c r="G25" s="107"/>
      <c r="H25" s="78"/>
    </row>
    <row r="26" spans="1:8" s="20" customFormat="1" ht="0.75" customHeight="1" hidden="1">
      <c r="A26" s="83" t="s">
        <v>26</v>
      </c>
      <c r="B26" s="77" t="s">
        <v>9</v>
      </c>
      <c r="C26" s="33">
        <f>SUM(C27:C30)</f>
        <v>0</v>
      </c>
      <c r="D26" s="33">
        <f>SUM(D27:D30)</f>
        <v>0</v>
      </c>
      <c r="E26" s="33">
        <f>SUM(E27:E30)</f>
        <v>0</v>
      </c>
      <c r="F26" s="47" t="e">
        <f t="shared" si="1"/>
        <v>#DIV/0!</v>
      </c>
      <c r="G26" s="48"/>
      <c r="H26" s="78"/>
    </row>
    <row r="27" spans="1:8" s="20" customFormat="1" ht="18.75" hidden="1">
      <c r="A27" s="31" t="s">
        <v>27</v>
      </c>
      <c r="B27" s="82" t="s">
        <v>41</v>
      </c>
      <c r="C27" s="15"/>
      <c r="D27" s="15"/>
      <c r="E27" s="15"/>
      <c r="F27" s="80" t="e">
        <f t="shared" si="1"/>
        <v>#DIV/0!</v>
      </c>
      <c r="G27" s="48"/>
      <c r="H27" s="78"/>
    </row>
    <row r="28" spans="1:8" s="20" customFormat="1" ht="18.75" hidden="1">
      <c r="A28" s="81" t="s">
        <v>28</v>
      </c>
      <c r="B28" s="82" t="s">
        <v>42</v>
      </c>
      <c r="C28" s="15"/>
      <c r="D28" s="15"/>
      <c r="E28" s="15"/>
      <c r="F28" s="80" t="e">
        <f t="shared" si="1"/>
        <v>#DIV/0!</v>
      </c>
      <c r="G28" s="48"/>
      <c r="H28" s="78"/>
    </row>
    <row r="29" spans="1:8" s="20" customFormat="1" ht="37.5" hidden="1">
      <c r="A29" s="81" t="s">
        <v>39</v>
      </c>
      <c r="B29" s="82" t="s">
        <v>43</v>
      </c>
      <c r="C29" s="15"/>
      <c r="D29" s="15"/>
      <c r="E29" s="15"/>
      <c r="F29" s="80" t="e">
        <f t="shared" si="1"/>
        <v>#DIV/0!</v>
      </c>
      <c r="G29" s="48"/>
      <c r="H29" s="78"/>
    </row>
    <row r="30" spans="1:8" s="20" customFormat="1" ht="18.75" hidden="1">
      <c r="A30" s="81" t="s">
        <v>40</v>
      </c>
      <c r="B30" s="82" t="s">
        <v>44</v>
      </c>
      <c r="C30" s="15"/>
      <c r="D30" s="15"/>
      <c r="E30" s="15"/>
      <c r="F30" s="80" t="e">
        <f t="shared" si="1"/>
        <v>#DIV/0!</v>
      </c>
      <c r="G30" s="48"/>
      <c r="H30" s="78"/>
    </row>
    <row r="31" spans="1:8" s="20" customFormat="1" ht="18.75">
      <c r="A31" s="83" t="s">
        <v>29</v>
      </c>
      <c r="B31" s="84" t="s">
        <v>10</v>
      </c>
      <c r="C31" s="33">
        <f>SUM(C32:C34)</f>
        <v>2496173</v>
      </c>
      <c r="D31" s="33">
        <f>SUM(D32:D34)</f>
        <v>1962813.35</v>
      </c>
      <c r="E31" s="33">
        <f>SUM(E32:E34)</f>
        <v>2496173</v>
      </c>
      <c r="F31" s="47">
        <f t="shared" si="1"/>
        <v>100</v>
      </c>
      <c r="G31" s="48"/>
      <c r="H31" s="78"/>
    </row>
    <row r="32" spans="1:8" s="20" customFormat="1" ht="19.5" customHeight="1">
      <c r="A32" s="81" t="s">
        <v>30</v>
      </c>
      <c r="B32" s="82" t="s">
        <v>11</v>
      </c>
      <c r="C32" s="15">
        <f>208000</f>
        <v>208000</v>
      </c>
      <c r="D32" s="15">
        <f>115213.35</f>
        <v>115213.35</v>
      </c>
      <c r="E32" s="15">
        <f>208000</f>
        <v>208000</v>
      </c>
      <c r="F32" s="80">
        <f t="shared" si="1"/>
        <v>100</v>
      </c>
      <c r="G32" s="48"/>
      <c r="H32" s="78"/>
    </row>
    <row r="33" spans="1:8" s="20" customFormat="1" ht="21" customHeight="1">
      <c r="A33" s="81" t="s">
        <v>31</v>
      </c>
      <c r="B33" s="82" t="s">
        <v>12</v>
      </c>
      <c r="C33" s="15">
        <f>2288173</f>
        <v>2288173</v>
      </c>
      <c r="D33" s="15">
        <f>1847600</f>
        <v>1847600</v>
      </c>
      <c r="E33" s="15">
        <f>2288173</f>
        <v>2288173</v>
      </c>
      <c r="F33" s="80">
        <f t="shared" si="1"/>
        <v>100</v>
      </c>
      <c r="G33" s="48"/>
      <c r="H33" s="78"/>
    </row>
    <row r="34" spans="1:8" s="20" customFormat="1" ht="18.75" customHeight="1" hidden="1">
      <c r="A34" s="81" t="s">
        <v>32</v>
      </c>
      <c r="B34" s="79" t="s">
        <v>45</v>
      </c>
      <c r="C34" s="15">
        <v>0</v>
      </c>
      <c r="D34" s="15">
        <v>0</v>
      </c>
      <c r="E34" s="15"/>
      <c r="F34" s="80" t="e">
        <f t="shared" si="1"/>
        <v>#DIV/0!</v>
      </c>
      <c r="G34" s="48"/>
      <c r="H34" s="78"/>
    </row>
    <row r="35" spans="1:8" s="20" customFormat="1" ht="18.75">
      <c r="A35" s="83" t="s">
        <v>36</v>
      </c>
      <c r="B35" s="77" t="s">
        <v>53</v>
      </c>
      <c r="C35" s="33">
        <f>SUM(C36)</f>
        <v>340997</v>
      </c>
      <c r="D35" s="33">
        <f>SUM(D36)</f>
        <v>42000</v>
      </c>
      <c r="E35" s="33">
        <f>SUM(E36)</f>
        <v>340997</v>
      </c>
      <c r="F35" s="80">
        <f t="shared" si="1"/>
        <v>100</v>
      </c>
      <c r="G35" s="48"/>
      <c r="H35" s="78"/>
    </row>
    <row r="36" spans="1:8" s="20" customFormat="1" ht="19.5" customHeight="1">
      <c r="A36" s="81" t="s">
        <v>54</v>
      </c>
      <c r="B36" s="79" t="s">
        <v>55</v>
      </c>
      <c r="C36" s="15">
        <f>340997</f>
        <v>340997</v>
      </c>
      <c r="D36" s="15">
        <f>42000</f>
        <v>42000</v>
      </c>
      <c r="E36" s="15">
        <f>340997</f>
        <v>340997</v>
      </c>
      <c r="F36" s="80">
        <f t="shared" si="1"/>
        <v>100</v>
      </c>
      <c r="G36" s="48"/>
      <c r="H36" s="78"/>
    </row>
    <row r="37" spans="1:8" s="50" customFormat="1" ht="37.5" customHeight="1">
      <c r="A37" s="46">
        <v>1300</v>
      </c>
      <c r="B37" s="68" t="s">
        <v>116</v>
      </c>
      <c r="C37" s="33">
        <f>C38</f>
        <v>34482.55</v>
      </c>
      <c r="D37" s="33">
        <f>D38</f>
        <v>22748.67</v>
      </c>
      <c r="E37" s="33">
        <f>E38</f>
        <v>34482.55</v>
      </c>
      <c r="F37" s="47">
        <f t="shared" si="1"/>
        <v>100</v>
      </c>
      <c r="G37" s="48"/>
      <c r="H37" s="49"/>
    </row>
    <row r="38" spans="1:8" s="20" customFormat="1" ht="39.75" customHeight="1">
      <c r="A38" s="85">
        <v>1301</v>
      </c>
      <c r="B38" s="86" t="s">
        <v>103</v>
      </c>
      <c r="C38" s="15">
        <f>34482.55</f>
        <v>34482.55</v>
      </c>
      <c r="D38" s="15">
        <f>22748.67</f>
        <v>22748.67</v>
      </c>
      <c r="E38" s="15">
        <f>34482.55</f>
        <v>34482.55</v>
      </c>
      <c r="F38" s="80">
        <f t="shared" si="1"/>
        <v>100</v>
      </c>
      <c r="G38" s="48"/>
      <c r="H38" s="78"/>
    </row>
    <row r="39" spans="1:10" s="20" customFormat="1" ht="18.75">
      <c r="A39" s="31"/>
      <c r="B39" s="77" t="s">
        <v>110</v>
      </c>
      <c r="C39" s="33">
        <f>C31+C26+C24+C22+C18+C14+C10+C4+C35+C37</f>
        <v>81936588.85000001</v>
      </c>
      <c r="D39" s="33">
        <f>D31+D26+D24+D22+D18+D14+D10+D4+D35+D37</f>
        <v>43006410.34000001</v>
      </c>
      <c r="E39" s="33">
        <f>E31+E26+E24+E22+E18+E14+E10+E4+E35+E37</f>
        <v>81574488.28</v>
      </c>
      <c r="F39" s="47">
        <f t="shared" si="1"/>
        <v>99.5580721932873</v>
      </c>
      <c r="G39" s="48"/>
      <c r="H39" s="78"/>
      <c r="I39" s="72"/>
      <c r="J39" s="53"/>
    </row>
    <row r="40" spans="1:10" s="50" customFormat="1" ht="37.5">
      <c r="A40" s="83"/>
      <c r="B40" s="77" t="s">
        <v>124</v>
      </c>
      <c r="C40" s="33">
        <f>Доходы!D27-Расходы!C39</f>
        <v>-887298.4300000072</v>
      </c>
      <c r="D40" s="33">
        <f>Доходы!E27-Расходы!D39</f>
        <v>4979693.339999981</v>
      </c>
      <c r="E40" s="33">
        <f>Доходы!F27-Расходы!E39</f>
        <v>1989683.8799999952</v>
      </c>
      <c r="F40" s="47">
        <f t="shared" si="1"/>
        <v>-224.2406627497334</v>
      </c>
      <c r="G40" s="48"/>
      <c r="H40" s="87"/>
      <c r="I40" s="88"/>
      <c r="J40" s="89"/>
    </row>
    <row r="41" spans="1:8" ht="18.75">
      <c r="A41" s="90"/>
      <c r="B41" s="91"/>
      <c r="C41" s="92"/>
      <c r="D41" s="92"/>
      <c r="E41" s="93"/>
      <c r="F41" s="35"/>
      <c r="H41" s="94"/>
    </row>
    <row r="42" spans="1:8" ht="18.75">
      <c r="A42" s="90"/>
      <c r="B42" s="91"/>
      <c r="C42" s="92"/>
      <c r="D42" s="92"/>
      <c r="H42" s="95"/>
    </row>
    <row r="43" spans="1:7" ht="18.75">
      <c r="A43" s="90"/>
      <c r="B43" s="91"/>
      <c r="C43" s="92"/>
      <c r="D43" s="92"/>
      <c r="G43" s="96"/>
    </row>
    <row r="44" ht="19.5">
      <c r="A44" s="97"/>
    </row>
    <row r="45" ht="19.5">
      <c r="A45" s="97"/>
    </row>
    <row r="46" ht="18.75">
      <c r="A46" s="99"/>
    </row>
  </sheetData>
  <sheetProtection/>
  <printOptions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34.00390625" style="1" customWidth="1"/>
    <col min="2" max="2" width="38.25390625" style="1" customWidth="1"/>
    <col min="3" max="3" width="20.375" style="1" customWidth="1"/>
    <col min="4" max="4" width="18.75390625" style="1" customWidth="1"/>
    <col min="5" max="5" width="19.125" style="1" customWidth="1"/>
    <col min="6" max="6" width="14.75390625" style="1" customWidth="1"/>
    <col min="7" max="16384" width="9.125" style="1" customWidth="1"/>
  </cols>
  <sheetData>
    <row r="1" spans="1:6" s="9" customFormat="1" ht="29.25" customHeight="1">
      <c r="A1" s="110" t="s">
        <v>140</v>
      </c>
      <c r="B1" s="110"/>
      <c r="C1" s="6"/>
      <c r="D1" s="6"/>
      <c r="E1" s="4"/>
      <c r="F1" s="11"/>
    </row>
    <row r="2" spans="1:6" ht="153" customHeight="1">
      <c r="A2" s="2" t="s">
        <v>104</v>
      </c>
      <c r="B2" s="2" t="s">
        <v>105</v>
      </c>
      <c r="C2" s="3" t="s">
        <v>139</v>
      </c>
      <c r="D2" s="2" t="s">
        <v>136</v>
      </c>
      <c r="E2" s="2" t="s">
        <v>129</v>
      </c>
      <c r="F2" s="2" t="s">
        <v>130</v>
      </c>
    </row>
    <row r="3" spans="1:6" ht="60" customHeight="1">
      <c r="A3" s="2" t="s">
        <v>107</v>
      </c>
      <c r="B3" s="18" t="s">
        <v>108</v>
      </c>
      <c r="C3" s="103">
        <f>-1243260</f>
        <v>-1243260</v>
      </c>
      <c r="D3" s="103">
        <f>-725235</f>
        <v>-725235</v>
      </c>
      <c r="E3" s="104">
        <v>-1243260</v>
      </c>
      <c r="F3" s="14">
        <f>E3/C3*100</f>
        <v>100</v>
      </c>
    </row>
    <row r="4" spans="1:6" ht="57" customHeight="1">
      <c r="A4" s="10" t="s">
        <v>99</v>
      </c>
      <c r="B4" s="18" t="s">
        <v>100</v>
      </c>
      <c r="C4" s="14">
        <f>2130558.43</f>
        <v>2130558.43</v>
      </c>
      <c r="D4" s="105">
        <f>-4254458.34</f>
        <v>-4254458.34</v>
      </c>
      <c r="E4" s="15">
        <f>Доходы!F27-Расходы!E39</f>
        <v>1989683.8799999952</v>
      </c>
      <c r="F4" s="14">
        <f>E4/C4*100</f>
        <v>93.38790487900373</v>
      </c>
    </row>
    <row r="5" spans="1:6" s="19" customFormat="1" ht="56.25">
      <c r="A5" s="51" t="s">
        <v>106</v>
      </c>
      <c r="B5" s="17" t="s">
        <v>101</v>
      </c>
      <c r="C5" s="16">
        <f>SUM(C3:C4)</f>
        <v>887298.4300000002</v>
      </c>
      <c r="D5" s="16">
        <f>SUM(D3:D4)</f>
        <v>-4979693.34</v>
      </c>
      <c r="E5" s="16">
        <f>SUM(E3:E4)</f>
        <v>746423.8799999952</v>
      </c>
      <c r="F5" s="16">
        <f>E5/C5*100</f>
        <v>84.12320531210622</v>
      </c>
    </row>
  </sheetData>
  <sheetProtection/>
  <mergeCells count="1">
    <mergeCell ref="A1:B1"/>
  </mergeCells>
  <printOptions/>
  <pageMargins left="0.984251968503937" right="0.3937007874015748" top="0.7874015748031497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Жирякова</cp:lastModifiedBy>
  <cp:lastPrinted>2018-10-15T10:13:55Z</cp:lastPrinted>
  <dcterms:created xsi:type="dcterms:W3CDTF">2006-11-14T10:25:35Z</dcterms:created>
  <dcterms:modified xsi:type="dcterms:W3CDTF">2018-11-12T06:24:30Z</dcterms:modified>
  <cp:category/>
  <cp:version/>
  <cp:contentType/>
  <cp:contentStatus/>
</cp:coreProperties>
</file>