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05" windowWidth="15120" windowHeight="8010"/>
  </bookViews>
  <sheets>
    <sheet name="Прил.№6 Распредел. на 2018" sheetId="1" r:id="rId1"/>
  </sheets>
  <calcPr calcId="152511"/>
</workbook>
</file>

<file path=xl/calcChain.xml><?xml version="1.0" encoding="utf-8"?>
<calcChain xmlns="http://schemas.openxmlformats.org/spreadsheetml/2006/main">
  <c r="D50" i="1" l="1"/>
  <c r="D32" i="1"/>
  <c r="D342" i="1" l="1"/>
  <c r="D279" i="1"/>
  <c r="D273" i="1"/>
  <c r="D271" i="1"/>
  <c r="D267" i="1"/>
  <c r="D266" i="1"/>
  <c r="D241" i="1"/>
  <c r="D240" i="1"/>
  <c r="D222" i="1"/>
  <c r="D220" i="1"/>
  <c r="D216" i="1"/>
  <c r="D197" i="1"/>
  <c r="D193" i="1"/>
  <c r="D188" i="1"/>
  <c r="D175" i="1"/>
  <c r="D174" i="1"/>
  <c r="D169" i="1"/>
  <c r="D168" i="1"/>
  <c r="D163" i="1"/>
  <c r="D156" i="1"/>
  <c r="D157" i="1"/>
  <c r="D129" i="1"/>
  <c r="D131" i="1"/>
  <c r="D73" i="1"/>
  <c r="D82" i="1"/>
  <c r="D81" i="1"/>
  <c r="D80" i="1"/>
  <c r="D79" i="1"/>
  <c r="D72" i="1"/>
  <c r="D54" i="1"/>
  <c r="D52" i="1"/>
  <c r="D51" i="1"/>
  <c r="D49" i="1"/>
  <c r="D37" i="1"/>
  <c r="D35" i="1"/>
  <c r="D268" i="1" l="1"/>
  <c r="D155" i="1" l="1"/>
  <c r="D107" i="1"/>
  <c r="D316" i="1"/>
  <c r="D287" i="1"/>
  <c r="D214" i="1"/>
  <c r="D161" i="1"/>
  <c r="D61" i="1"/>
  <c r="D334" i="1"/>
  <c r="D331" i="1"/>
  <c r="D319" i="1"/>
  <c r="D318" i="1"/>
  <c r="D288" i="1"/>
  <c r="D286" i="1"/>
  <c r="D236" i="1"/>
  <c r="D172" i="1"/>
  <c r="D162" i="1"/>
  <c r="D154" i="1"/>
  <c r="D133" i="1"/>
  <c r="D102" i="1"/>
  <c r="D90" i="1"/>
  <c r="D88" i="1"/>
  <c r="D71" i="1"/>
  <c r="D68" i="1"/>
  <c r="D48" i="1"/>
  <c r="D31" i="1"/>
  <c r="D30" i="1"/>
  <c r="D145" i="1" l="1"/>
  <c r="D141" i="1"/>
  <c r="D140" i="1"/>
  <c r="D246" i="1" l="1"/>
  <c r="D245" i="1"/>
  <c r="D310" i="1" l="1"/>
  <c r="D308" i="1" s="1"/>
  <c r="D177" i="1"/>
  <c r="D336" i="1"/>
  <c r="D264" i="1" l="1"/>
  <c r="D219" i="1"/>
  <c r="D215" i="1"/>
  <c r="D212" i="1"/>
  <c r="D151" i="1"/>
  <c r="D110" i="1"/>
  <c r="D99" i="1"/>
  <c r="D98" i="1"/>
  <c r="D87" i="1"/>
  <c r="D60" i="1"/>
  <c r="D59" i="1"/>
  <c r="D312" i="1" l="1"/>
  <c r="D289" i="1" l="1"/>
  <c r="D284" i="1"/>
  <c r="D206" i="1"/>
  <c r="D203" i="1" s="1"/>
  <c r="D108" i="1"/>
  <c r="D192" i="1" l="1"/>
  <c r="D330" i="1" l="1"/>
  <c r="D247" i="1" l="1"/>
  <c r="D210" i="1" l="1"/>
  <c r="D322" i="1" l="1"/>
  <c r="D321" i="1"/>
  <c r="D74" i="1" l="1"/>
  <c r="D58" i="1"/>
  <c r="D296" i="1" l="1"/>
  <c r="D293" i="1"/>
  <c r="D57" i="1" l="1"/>
  <c r="D40" i="1"/>
  <c r="D39" i="1"/>
  <c r="D33" i="1"/>
  <c r="D326" i="1" l="1"/>
  <c r="D255" i="1" l="1"/>
  <c r="D254" i="1" s="1"/>
  <c r="D70" i="1" l="1"/>
  <c r="D324" i="1" l="1"/>
  <c r="D325" i="1" l="1"/>
  <c r="D41" i="1" l="1"/>
  <c r="D173" i="1"/>
  <c r="D328" i="1" l="1"/>
  <c r="D327" i="1"/>
  <c r="D323" i="1"/>
  <c r="D320" i="1" l="1"/>
  <c r="D187" i="1"/>
  <c r="D165" i="1"/>
  <c r="D164" i="1"/>
  <c r="D315" i="1" l="1"/>
  <c r="D314" i="1" s="1"/>
  <c r="D167" i="1"/>
  <c r="D101" i="1" l="1"/>
  <c r="D100" i="1"/>
  <c r="D89" i="1"/>
  <c r="D86" i="1" s="1"/>
  <c r="D55" i="1" l="1"/>
  <c r="D235" i="1" l="1"/>
  <c r="D153" i="1" l="1"/>
  <c r="D304" i="1" l="1"/>
  <c r="D302" i="1"/>
  <c r="D295" i="1"/>
  <c r="D292" i="1"/>
  <c r="D283" i="1"/>
  <c r="D274" i="1"/>
  <c r="D269" i="1"/>
  <c r="D263" i="1"/>
  <c r="D259" i="1"/>
  <c r="D251" i="1"/>
  <c r="D244" i="1"/>
  <c r="D243" i="1" s="1"/>
  <c r="D239" i="1"/>
  <c r="D234" i="1"/>
  <c r="D231" i="1"/>
  <c r="D225" i="1"/>
  <c r="D209" i="1"/>
  <c r="D208" i="1" s="1"/>
  <c r="D106" i="1"/>
  <c r="D83" i="1"/>
  <c r="D77" i="1"/>
  <c r="D198" i="1"/>
  <c r="D195" i="1"/>
  <c r="D186" i="1"/>
  <c r="D184" i="1"/>
  <c r="D181" i="1"/>
  <c r="D176" i="1"/>
  <c r="D171" i="1"/>
  <c r="D152" i="1"/>
  <c r="D150" i="1"/>
  <c r="D144" i="1" s="1"/>
  <c r="D139" i="1"/>
  <c r="D127" i="1" s="1"/>
  <c r="D125" i="1"/>
  <c r="D119" i="1"/>
  <c r="D113" i="1"/>
  <c r="D69" i="1"/>
  <c r="D97" i="1"/>
  <c r="D93" i="1"/>
  <c r="D85" i="1"/>
  <c r="D282" i="1" l="1"/>
  <c r="D191" i="1"/>
  <c r="D118" i="1"/>
  <c r="D202" i="1"/>
  <c r="D224" i="1"/>
  <c r="D180" i="1"/>
  <c r="D294" i="1"/>
  <c r="D311" i="1"/>
  <c r="D92" i="1"/>
  <c r="D96" i="1"/>
  <c r="D112" i="1"/>
  <c r="D213" i="1"/>
  <c r="D230" i="1"/>
  <c r="D238" i="1"/>
  <c r="D291" i="1"/>
  <c r="D307" i="1"/>
  <c r="D278" i="1"/>
  <c r="D183" i="1"/>
  <c r="D258" i="1"/>
  <c r="D124" i="1"/>
  <c r="D76" i="1"/>
  <c r="D160" i="1"/>
  <c r="D265" i="1"/>
  <c r="D301" i="1"/>
  <c r="D250" i="1"/>
  <c r="D170" i="1"/>
  <c r="D122" i="1"/>
  <c r="D47" i="1"/>
  <c r="D46" i="1" s="1"/>
  <c r="D38" i="1"/>
  <c r="D29" i="1"/>
  <c r="D242" i="1" l="1"/>
  <c r="D306" i="1"/>
  <c r="D249" i="1"/>
  <c r="D290" i="1"/>
  <c r="D223" i="1"/>
  <c r="D201" i="1"/>
  <c r="D300" i="1"/>
  <c r="D262" i="1"/>
  <c r="D261" i="1" s="1"/>
  <c r="D121" i="1"/>
  <c r="D105" i="1" s="1"/>
  <c r="D159" i="1"/>
  <c r="D28" i="1"/>
  <c r="D27" i="1" l="1"/>
  <c r="D343" i="1" s="1"/>
</calcChain>
</file>

<file path=xl/sharedStrings.xml><?xml version="1.0" encoding="utf-8"?>
<sst xmlns="http://schemas.openxmlformats.org/spreadsheetml/2006/main" count="658" uniqueCount="611">
  <si>
    <t>01 0 00 00000</t>
  </si>
  <si>
    <t>01 1 00 00000</t>
  </si>
  <si>
    <t>01 1 01 00000</t>
  </si>
  <si>
    <t>01 1 01 00020</t>
  </si>
  <si>
    <t>01 1 01 00030</t>
  </si>
  <si>
    <t>01 1 01 80170</t>
  </si>
  <si>
    <t>Основное мероприятие "Содействие развитию дошкольного образования"</t>
  </si>
  <si>
    <t>01 1 02 20010</t>
  </si>
  <si>
    <t>01 1 03 00000</t>
  </si>
  <si>
    <t>01 1 03 80100</t>
  </si>
  <si>
    <t>01 1 03 80110</t>
  </si>
  <si>
    <t>01 2 00 00000</t>
  </si>
  <si>
    <t>01 2 01 00000</t>
  </si>
  <si>
    <t>01 2 01 00050</t>
  </si>
  <si>
    <t>01 2 01 80150</t>
  </si>
  <si>
    <t>01 2 02 00000</t>
  </si>
  <si>
    <t>01 2 02 00040</t>
  </si>
  <si>
    <t>01 2 02 20020</t>
  </si>
  <si>
    <t>01 3 00 00000</t>
  </si>
  <si>
    <t>Подпрограмма "Организация предоставления дополнительного образования детям"</t>
  </si>
  <si>
    <t>01 3 01 00000</t>
  </si>
  <si>
    <t>Основное мероприятие "Реализация программ дополнительного образования детей"</t>
  </si>
  <si>
    <t>01 3 01 00080</t>
  </si>
  <si>
    <t>01 4 00 00000</t>
  </si>
  <si>
    <t>Подпрограмма "Организованный отдых детей в каникулярное время"</t>
  </si>
  <si>
    <t>01 4 01 00000</t>
  </si>
  <si>
    <t>01 4 01 S0190</t>
  </si>
  <si>
    <t>01 4 01 20040</t>
  </si>
  <si>
    <t>01 4 01 80190</t>
  </si>
  <si>
    <t>01 4 02 00000</t>
  </si>
  <si>
    <t>01 4 02 80200</t>
  </si>
  <si>
    <t>01 5 00 00000</t>
  </si>
  <si>
    <t>01 5 01 00000</t>
  </si>
  <si>
    <t>01 5 01 20050</t>
  </si>
  <si>
    <t>01 5 01 20060</t>
  </si>
  <si>
    <t>01 6 00 00000</t>
  </si>
  <si>
    <t>Подпрограмма "Профессиональная переподготовка и повышение квалификации"</t>
  </si>
  <si>
    <t>01 6 01 00000</t>
  </si>
  <si>
    <t>Основное мероприятие "Развитие кадрового потенциала работников сферы образования"</t>
  </si>
  <si>
    <t>01 6 01 20070</t>
  </si>
  <si>
    <t>01 8 00 00000</t>
  </si>
  <si>
    <t>01 8 01 00000</t>
  </si>
  <si>
    <t>01 8 01 00090</t>
  </si>
  <si>
    <t>02 0 00 00000</t>
  </si>
  <si>
    <t>02 1 00 00000</t>
  </si>
  <si>
    <t>02 2 00 00000</t>
  </si>
  <si>
    <t>02 2 01 00000</t>
  </si>
  <si>
    <t>02 2 01 20120</t>
  </si>
  <si>
    <t>02 2 01 20130</t>
  </si>
  <si>
    <t>02 4 00 00000</t>
  </si>
  <si>
    <t>Подпрограмма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t>
  </si>
  <si>
    <t>02 4 01 00000</t>
  </si>
  <si>
    <t>Основное мероприятие "Поддержка на доступном уровне объема пассажирских перевозок на автобусных маршрутах"</t>
  </si>
  <si>
    <t>02 4 01 60010</t>
  </si>
  <si>
    <t>02 7 00 00000</t>
  </si>
  <si>
    <t>02 7 01 00000</t>
  </si>
  <si>
    <t>02 7 01 20160</t>
  </si>
  <si>
    <t>02 8 00 00000</t>
  </si>
  <si>
    <t>02 8 01 00000</t>
  </si>
  <si>
    <t>02 8 01 60070</t>
  </si>
  <si>
    <t>03 0 00 00000</t>
  </si>
  <si>
    <t>03 1 00 00000</t>
  </si>
  <si>
    <t>03 1 01 00000</t>
  </si>
  <si>
    <t>Основное мероприятие "Развитие библиотечного дела"</t>
  </si>
  <si>
    <t>03 1 01 00360</t>
  </si>
  <si>
    <t>03 1 01 00370</t>
  </si>
  <si>
    <t>03 1 02 00000</t>
  </si>
  <si>
    <t>03 1 02 S0340</t>
  </si>
  <si>
    <t>03 2 00 00000</t>
  </si>
  <si>
    <t>Подпрограмма "Дополнительное образование детей в сфере культуры и искусства"</t>
  </si>
  <si>
    <t>03 2 01 00000</t>
  </si>
  <si>
    <t>Основное мероприятие "Реализация дополнительных общеобразовательных программ"</t>
  </si>
  <si>
    <t>03 2 01 00140</t>
  </si>
  <si>
    <t>03 2 02 00000</t>
  </si>
  <si>
    <t>Основное мероприятие "Повышение средней заработной платы работников дополнительного образования"</t>
  </si>
  <si>
    <t>03 3 00 00000</t>
  </si>
  <si>
    <t>03 3 01 00000</t>
  </si>
  <si>
    <t>Основное мероприятие "Формирование фондов библиотеки"</t>
  </si>
  <si>
    <t>03 3 01 20200</t>
  </si>
  <si>
    <t>03 4 00 00000</t>
  </si>
  <si>
    <t>03 4 01 00000</t>
  </si>
  <si>
    <t>03 4 01 20220</t>
  </si>
  <si>
    <t>03 5 00 00000</t>
  </si>
  <si>
    <t>03 5 01 00000</t>
  </si>
  <si>
    <t xml:space="preserve">Основное мероприятие "Укрепление материально-технической базы библиотечных учреждений Южского района" </t>
  </si>
  <si>
    <t>03 5 01 20230</t>
  </si>
  <si>
    <t>03 7 00 00000</t>
  </si>
  <si>
    <t>03 7 01 00000</t>
  </si>
  <si>
    <t>04 0 00 00000</t>
  </si>
  <si>
    <t>04 2 00 00000</t>
  </si>
  <si>
    <t>04 4 00 00000</t>
  </si>
  <si>
    <t>05 0 00 00000</t>
  </si>
  <si>
    <t>05 1 00 00000</t>
  </si>
  <si>
    <t>05 1 01 00000</t>
  </si>
  <si>
    <t>05 1 01 60030</t>
  </si>
  <si>
    <t>05 1 01 60050</t>
  </si>
  <si>
    <t>05 2 00 00000</t>
  </si>
  <si>
    <t>05 2 01 00000</t>
  </si>
  <si>
    <t>05 2 01 20380</t>
  </si>
  <si>
    <t>05 3 00 00000</t>
  </si>
  <si>
    <t>05 3 01 00000</t>
  </si>
  <si>
    <t>06 0 00 00000</t>
  </si>
  <si>
    <t>06 1 00 00000</t>
  </si>
  <si>
    <t>06 1 01 00000</t>
  </si>
  <si>
    <t>06 1 01 20420</t>
  </si>
  <si>
    <t>07 0 00 00000</t>
  </si>
  <si>
    <t>Муниципальная программа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</si>
  <si>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07 1 00 00000</t>
  </si>
  <si>
    <t>07 1 01 00000</t>
  </si>
  <si>
    <t>Основное мероприятие "Организация мероприятий в интересах лиц с ограниченными возможностями здоровья"</t>
  </si>
  <si>
    <t>07 1 01 20430</t>
  </si>
  <si>
    <t>07 1 01 20440</t>
  </si>
  <si>
    <t>07 1 02 00000</t>
  </si>
  <si>
    <t>Основное мероприятие "Адаптация учреждений Южского муниципального района к обслуживанию инвалидов и других маломобильных групп"</t>
  </si>
  <si>
    <t>07 1 02 20460</t>
  </si>
  <si>
    <t>07 5 00 00000</t>
  </si>
  <si>
    <t>07 5 01 00000</t>
  </si>
  <si>
    <t>07 5 01 60060</t>
  </si>
  <si>
    <t>08 0 00 00000</t>
  </si>
  <si>
    <t>08 1 00 00000</t>
  </si>
  <si>
    <t>08 1 01 00000</t>
  </si>
  <si>
    <t>Основное мероприятие "Обеспечение деятельности лиц, замещающих муниципальные должности"</t>
  </si>
  <si>
    <t>08 1 01 00190</t>
  </si>
  <si>
    <t>08 1 02 00000</t>
  </si>
  <si>
    <t>08 1 02 00170</t>
  </si>
  <si>
    <t>08 1 03 00000</t>
  </si>
  <si>
    <t>08 1 03 20540</t>
  </si>
  <si>
    <t>08 1 03 20560</t>
  </si>
  <si>
    <t>08 1 04 00000</t>
  </si>
  <si>
    <t>Основное мероприятие "Обеспечение общественного порядка и профилактика правонарушений"</t>
  </si>
  <si>
    <t>08 1 04 80350</t>
  </si>
  <si>
    <t>08 1 04 80360</t>
  </si>
  <si>
    <t>08 2 00 00000</t>
  </si>
  <si>
    <t>08 2 01 00000</t>
  </si>
  <si>
    <t>09 0 00 00000</t>
  </si>
  <si>
    <t>Муниципальная программа Южского муниципального района "Профилактика правонарушений в Южском муниципальном районе"</t>
  </si>
  <si>
    <t>09 1 00 00000</t>
  </si>
  <si>
    <t>Подпрограмма "Профилактика правонарушений и преступлений в Южском муниципальном районе"</t>
  </si>
  <si>
    <t>09 1 01 00000</t>
  </si>
  <si>
    <t>Основное мероприятие "Обеспечение общественного порядка"</t>
  </si>
  <si>
    <t>09 1 01 20660</t>
  </si>
  <si>
    <t>09 2 00 00000</t>
  </si>
  <si>
    <t>Подпрограмма "Профилактика безнадзорности и правонарушений несовершеннолетних"</t>
  </si>
  <si>
    <t>09 2 01 00000</t>
  </si>
  <si>
    <t>Основное мероприятие "Профилактика правонарушений"</t>
  </si>
  <si>
    <t>09 2 01 20670</t>
  </si>
  <si>
    <t>09 2 01 20680</t>
  </si>
  <si>
    <t>09 2 01 20690</t>
  </si>
  <si>
    <t>09 2 01 20700</t>
  </si>
  <si>
    <t>30 9 00 00000</t>
  </si>
  <si>
    <t>30 9 00 00200</t>
  </si>
  <si>
    <t>30 9 00 00210</t>
  </si>
  <si>
    <t>30 9 00 00220</t>
  </si>
  <si>
    <t>30 9 00 00230</t>
  </si>
  <si>
    <t>Основное мероприятие "Обеспечение сохранения объектов культурного наследия"</t>
  </si>
  <si>
    <t>Наименование</t>
  </si>
  <si>
    <t>Целевая статья</t>
  </si>
  <si>
    <t>Вид рас-ходов</t>
  </si>
  <si>
    <t>к решению Совета Южского</t>
  </si>
  <si>
    <t>муниципального района</t>
  </si>
  <si>
    <t xml:space="preserve">"О бюджете Южского </t>
  </si>
  <si>
    <t xml:space="preserve">муниципального района </t>
  </si>
  <si>
    <t>Подпрограмма "Водохозяйственные мероприятия на оз. Вазаль Южского муниципального района"</t>
  </si>
  <si>
    <t xml:space="preserve">30 9 00 00350 </t>
  </si>
  <si>
    <t>08 1 03 20550</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</si>
  <si>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(Иные бюджетные ассигнования)</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</si>
  <si>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</si>
  <si>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</si>
  <si>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</si>
  <si>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</si>
  <si>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</si>
  <si>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</si>
  <si>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</si>
  <si>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</si>
  <si>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</si>
  <si>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</si>
  <si>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</si>
  <si>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</si>
  <si>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</si>
  <si>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</si>
  <si>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Субсидии муниципальному унитарному предприятию на возмещение затрат по содержанию плотины на р.Пионерка (оз.Вазаль) (Иные бюджетные ассигнования)</t>
  </si>
  <si>
    <t>Библиотечное, библиографическое и информационное обслуживание пользователей (Иные бюджетные ассигнования)</t>
  </si>
  <si>
    <t xml:space="preserve">Содержание дошкольных 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 </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</si>
  <si>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</si>
  <si>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</si>
  <si>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</si>
  <si>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</si>
  <si>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</si>
  <si>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</si>
  <si>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Активизация работы с допризывной молодежью, повышение интереса к военно-прикладным видам спорта (Закупка товаров, работ и услуг для обеспечения государственных (муниципальных) нужд)</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</si>
  <si>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</si>
  <si>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Развитие системы отдыха молодых семей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</si>
  <si>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</si>
  <si>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</si>
  <si>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</si>
  <si>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</si>
  <si>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Повышение уровня обеспечения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</si>
  <si>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Формирование общественного мнения, поддерживающего цели и задачи системы профилактики безнадзорности и правонарушений несовершеннолетних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</si>
  <si>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</si>
  <si>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Подпрограмма "Формирование доступной среды жизнедеятельности для инвалидов и других маломобильных групп населения в Южском муниципальном районе"</t>
  </si>
  <si>
    <t>01 1 02 00000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</si>
  <si>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обеспечения государственных (муниципальных) нужд)</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</si>
  <si>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</si>
  <si>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Основное мероприятие "Финансовое обеспечение предоставления мер социальной поддержки"</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</si>
  <si>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</si>
  <si>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</si>
  <si>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</si>
  <si>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t>
  </si>
  <si>
    <r>
      <t xml:space="preserve">Основное мероприятие "Организация отдыха и оздоровления детей" </t>
    </r>
    <r>
      <rPr>
        <i/>
        <sz val="10"/>
        <rFont val="Times New Roman"/>
        <family val="1"/>
        <charset val="204"/>
      </rPr>
      <t/>
    </r>
  </si>
  <si>
    <t xml:space="preserve">Подпрограмма "Безопасность библиотечных отделов МКУК "Южская МЦБ"" </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</si>
  <si>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</si>
  <si>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Муниципальная программа Южского муниципального района "Развитие образования Южского муниципального района"</t>
  </si>
  <si>
    <t xml:space="preserve">Подпрограмма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t>
  </si>
  <si>
    <t xml:space="preserve">Основное мероприятие "Развитие дошкольного образования" </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</si>
  <si>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</si>
  <si>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</si>
  <si>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</si>
  <si>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Основное мероприятие "Финансовое обеспечение предоставления мер социальной поддержки в сфере образования" </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</si>
  <si>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</si>
  <si>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 xml:space="preserve">Подпрограмма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t>
  </si>
  <si>
    <t>Основное мероприятие "Реализация программ общего образования"</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</si>
  <si>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</si>
  <si>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</si>
  <si>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</si>
  <si>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Организация работы лагеря с дневным пребыванием детей "Подросток"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</si>
  <si>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</si>
  <si>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 xml:space="preserve">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</si>
  <si>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Подпрограмма "Одарённые дети" </t>
  </si>
  <si>
    <t xml:space="preserve">Основное мероприятие "Поддержка творчески одаренных детей"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</si>
  <si>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</si>
  <si>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</si>
  <si>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</si>
  <si>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 xml:space="preserve">Подпрограмма "Обеспечение деятельности структурных подразделений Отдела образования администрации Южского муниципального района"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</si>
  <si>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</si>
  <si>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</si>
  <si>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Подпрограмма "Развитие автомобильных дорог Южского муниципального района" </t>
  </si>
  <si>
    <t xml:space="preserve">Подпрограмма "Повышение безопасности дорожного движения в Южском муниципальном районе" </t>
  </si>
  <si>
    <t xml:space="preserve">Основное мероприятие "Обеспечение безопасности граждан" </t>
  </si>
  <si>
    <t>Подпрограмма "Обеспечение жильем молодых семей в Южском муниципальном районе"</t>
  </si>
  <si>
    <t xml:space="preserve">Основное мероприятие "Обеспечение жильем молодых семей" </t>
  </si>
  <si>
    <t xml:space="preserve">Предоставление социальных выплат молодым семьям на приобретение (строительство) жилого помещения (Социальное обеспечение и иные выплаты населению) </t>
  </si>
  <si>
    <t xml:space="preserve">Подпрограмма "Поддержка граждан в сфере ипотечного жилищного кредитования в Южском муниципальном районе" </t>
  </si>
  <si>
    <t xml:space="preserve">Основное мероприятие "Государственная поддержка граждан в сфере ипотечного жилищного кредитования" </t>
  </si>
  <si>
    <t>Подпрограмма "Инвестиции в объекты размещения отходов и их рекультивацию"</t>
  </si>
  <si>
    <t xml:space="preserve">Муниципальная программа Южского муниципального района "Развитие культуры Южского муниципального района" </t>
  </si>
  <si>
    <t xml:space="preserve">Подпрограмма "Развитие библиотечного дела в Южском муниципальном районе" </t>
  </si>
  <si>
    <t xml:space="preserve">Основное мероприятие "Повышение средней заработной платы работникам муниципальных учреждений культуры" </t>
  </si>
  <si>
    <t xml:space="preserve">Основное мероприятие "Обеспечение безопасности" </t>
  </si>
  <si>
    <t xml:space="preserve">Основное мероприятие "Содействие развитию учреждений культуры" </t>
  </si>
  <si>
    <t xml:space="preserve">Подпрограмма "Гражданско-патриотическое воспитание детей, подростков и молодежи" </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</si>
  <si>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</si>
  <si>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 xml:space="preserve">Подпрограмма "Развитие физической культуры и спорта в Южском муниципальном районе" </t>
  </si>
  <si>
    <t xml:space="preserve">Муниципальная программа Южского муниципального района "Экономическое развитие Южского муниципального района" </t>
  </si>
  <si>
    <t>Подпрограмма "Развитие малого и среднего предпринимательства"</t>
  </si>
  <si>
    <t xml:space="preserve">Основное мероприятие "Поддержка малого и среднего предпринимательства" </t>
  </si>
  <si>
    <t xml:space="preserve">Подпрограмма "Обеспечение финансирования работ по формированию земельных участков на территории Южского муниципального района" </t>
  </si>
  <si>
    <t xml:space="preserve">Основное мероприятие "Управление и распоряжение земельными ресурсами" </t>
  </si>
  <si>
    <t xml:space="preserve">Организация проведения кадастровых работ и государственного кадастрового учета земельных участков (Закупка товаров, работ и услуг для обеспечения государственных (муниципальных) нужд) </t>
  </si>
  <si>
    <t xml:space="preserve">Подпрограмма "Обеспечение финансирования работ по оформлению прав собственности Южского муниципального района на недвижимое имущество и его инвентаризации" </t>
  </si>
  <si>
    <t xml:space="preserve">Основное мероприятие "Управление и распоряжение имуществом" </t>
  </si>
  <si>
    <t xml:space="preserve">Подпрограмма "Энергосбережение и повышение энергетической эффективности в муниципальных учреждениях" </t>
  </si>
  <si>
    <t xml:space="preserve">Основное мероприятие "Повышение энергетической эффективности учреждений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</si>
  <si>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(Закупка товаров, работ и услуг для обеспечения государственных (муниципальных) нужд)</t>
  </si>
  <si>
    <t>Муниципальная программа Южского муниципального района "Совершенствование институтов местного самоуправления Южского муниципального района"</t>
  </si>
  <si>
    <t>Подпрограмма "Обеспечение деятельности Администрации Южского муниципального района и развитие муниципальной службы в Южском муниципальном районе"</t>
  </si>
  <si>
    <t xml:space="preserve">Основное мероприятие "Обеспечение деятельности исполнительно-распорядительных органов местного самоуправления Южского муниципального района" </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</si>
  <si>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</si>
  <si>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</si>
  <si>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 xml:space="preserve">Основное мероприятие "Развитие кадрового потенциала работников органов местного самоуправления" </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</si>
  <si>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</si>
  <si>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</si>
  <si>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</si>
  <si>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Основное мероприятие "Организация предоставления государственных и муниципальных услуг на базе многофункциональных центров предоставления государственных и муниципальных услуг"  </t>
  </si>
  <si>
    <t>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</si>
  <si>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</si>
  <si>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</si>
  <si>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Обеспечение функционирования Совета Южского муниципального района (Иные бюджетные ассигнования)</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</si>
  <si>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</si>
  <si>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</si>
  <si>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</si>
  <si>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Основное мероприятие "Капитальный ремонт,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t>
  </si>
  <si>
    <t xml:space="preserve">02 1 03 00000 </t>
  </si>
  <si>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</si>
  <si>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</si>
  <si>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</si>
  <si>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 xml:space="preserve">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(Иные бюджетные ассигнования) </t>
  </si>
  <si>
    <t>Основное мероприятие "Обращение с отходами производства и потребления"</t>
  </si>
  <si>
    <t xml:space="preserve">Рекультивация Южской городской свалки (Закупка товаров, работ и услуг для обеспечения государственных (муниципальных) нужд)   </t>
  </si>
  <si>
    <t>Подпрограмма "Улучшение жилищных условий и выравнивание обеспеченности населения сельских поселений Южского муниципального района коммунальной инфраструктурой"</t>
  </si>
  <si>
    <t>02 Д 00 00000</t>
  </si>
  <si>
    <t>Основное мероприятие "Организация в границах поселений газоснабжения населения"</t>
  </si>
  <si>
    <t>02 Д 01 00000</t>
  </si>
  <si>
    <t>Основное мероприятие "Организация в границах поселений водоснабжения населения"</t>
  </si>
  <si>
    <t xml:space="preserve">02 Д 03 00000 </t>
  </si>
  <si>
    <t xml:space="preserve">Содержание и ремонт нецентрализованных источников водоснабжения  (Закупка товаров, работ и услуг для обеспечения государственных (муниципальных) нужд) </t>
  </si>
  <si>
    <t xml:space="preserve">02 Д 03 21480 </t>
  </si>
  <si>
    <t xml:space="preserve">02 Д 05 00000 </t>
  </si>
  <si>
    <t>02 Д 05 21680</t>
  </si>
  <si>
    <t>Подпрограмма "Развитие системы гражданской обороны, обеспечение безопасности, защиты населения и территории Южского муниципального района от чрезвычайных ситуаций"</t>
  </si>
  <si>
    <t>02 Ж 00 00000</t>
  </si>
  <si>
    <t>Основное мероприятие "Мероприятия по территориальной и гражданской обороне, защите населения и территории Южского муниципального района от чрезвычайных ситуаций природного и техногенного характера"</t>
  </si>
  <si>
    <t>02 Ж 01 00000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</si>
  <si>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</si>
  <si>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</si>
  <si>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</si>
  <si>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</si>
  <si>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Основное мероприятие "Резервный фонд"</t>
  </si>
  <si>
    <t xml:space="preserve">02 Ж 03 00000 </t>
  </si>
  <si>
    <t>Резервный фонд администрации Южского муниципального района (Иные бюджетные ассигнования)</t>
  </si>
  <si>
    <t xml:space="preserve">02 Ж 03 20150 </t>
  </si>
  <si>
    <t>Подпрограмма "Сезонная уборка территорий сельских поселений Южского муниципального района"</t>
  </si>
  <si>
    <t xml:space="preserve">02 И 00 00000 </t>
  </si>
  <si>
    <t>Основное мероприятие "Мероприятия по содержанию территорий сельских поселений"</t>
  </si>
  <si>
    <t xml:space="preserve">02 И 01 00000 </t>
  </si>
  <si>
    <t xml:space="preserve">02 И 01 21670 </t>
  </si>
  <si>
    <t xml:space="preserve">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</si>
  <si>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Подпрограмма "Укрепление материально-технической базы учреждений культуры Южского муниципального района"</t>
    </r>
    <r>
      <rPr>
        <i/>
        <sz val="10"/>
        <color theme="1"/>
        <rFont val="Times New Roman"/>
        <family val="1"/>
        <charset val="204"/>
      </rPr>
      <t xml:space="preserve"> </t>
    </r>
  </si>
  <si>
    <t>Обеспечение сохранности зданий учреждений в сфере культуры (Предоставление субсидий бюджетным, автономным учреждениям и иным некоммерческим организациям)</t>
  </si>
  <si>
    <t>03 7 01 21550</t>
  </si>
  <si>
    <t>03 Д 00 00000</t>
  </si>
  <si>
    <t>Основное мероприятие "Организация и проведение событийных мероприятий"</t>
  </si>
  <si>
    <t>03 Д 01 00000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</si>
  <si>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</si>
  <si>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</si>
  <si>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Основное мероприятие "Содействие развитию музейно-выставочной деятельности"</t>
  </si>
  <si>
    <t>03 Д 03 00000</t>
  </si>
  <si>
    <t>Активизация издательской деятельности музеев (Предоставление субсидий бюджетным, автономным учреждениям и иным некоммерческим организациям)</t>
  </si>
  <si>
    <t>03 Д 03 21190</t>
  </si>
  <si>
    <t>Укрепление материально-технической базы (Предоставление субсидий бюджетным, автономным учреждениям и иным некоммерческим организациям)</t>
  </si>
  <si>
    <t>03 Д 03 21540</t>
  </si>
  <si>
    <t>03 Д 04 00000</t>
  </si>
  <si>
    <t>Проведение историко-культурной экспертизы выявленных объектов культурного наследия (Предоставление субсидий бюджетным, автономным учреждениям и иным некоммерческим организациям)</t>
  </si>
  <si>
    <t>03 Д 04 21220</t>
  </si>
  <si>
    <t>Обеспечение сохранности объектов культурного наследия (Предоставление субсидий бюджетным, автономным учреждениям и иным некоммерческим организациям)</t>
  </si>
  <si>
    <t>03 Д 04 21230</t>
  </si>
  <si>
    <t xml:space="preserve">Муниципальная программа Южского муниципального района "Развитие физической культуры, спорта и повышение эффективности реализации молодежной политики Южского муниципального района" </t>
  </si>
  <si>
    <t>Основное мероприятие "Развитие чувства патриотизма, любви к родному краю, гордости за историческое наследие и настоящее России"</t>
  </si>
  <si>
    <t>04 2 02 00000</t>
  </si>
  <si>
    <t>04 2 02 20280</t>
  </si>
  <si>
    <t>04 2 02 20290</t>
  </si>
  <si>
    <t>04 2 02 20300</t>
  </si>
  <si>
    <t>Основное мероприятие "Проведение спортивно-оздоровительных и спортивно-массовых мероприятий"</t>
  </si>
  <si>
    <t>04 4 02 00000</t>
  </si>
  <si>
    <t>04 4 02 20330</t>
  </si>
  <si>
    <t>Подпрограмма "Организация и проведение мероприятий по работе с детьми, подростками, молодёжью и молодыми семьями"</t>
  </si>
  <si>
    <t>04 8 00 00000</t>
  </si>
  <si>
    <t>Основное мероприятие "Организация и проведение мероприятий по работе с детьми и молодежью и молодыми семьями"</t>
  </si>
  <si>
    <t>04 8 01 00000</t>
  </si>
  <si>
    <t>Организация и проведение мероприятий по работе с детьми и молодежью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</si>
  <si>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04 8 01 00380</t>
    </r>
    <r>
      <rPr>
        <i/>
        <sz val="14"/>
        <color theme="1"/>
        <rFont val="Times New Roman"/>
        <family val="1"/>
        <charset val="204"/>
      </rPr>
      <t xml:space="preserve"> </t>
    </r>
  </si>
  <si>
    <t>Организация и проведение мероприятий по работе с детьми и молодежью (Закупка товаров, работ и услуг для обеспечения государственных (муниципальных) нужд)</t>
  </si>
  <si>
    <t>Организация досуга молодых семей  (Закупка товаров, работ и услуг для обеспечения государственных (муниципальных) нужд)</t>
  </si>
  <si>
    <t>04 8 01 20310</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</si>
  <si>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</si>
  <si>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</si>
  <si>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</si>
  <si>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04 8 01 20350</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</si>
  <si>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</si>
  <si>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</si>
  <si>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</si>
  <si>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</si>
  <si>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</si>
  <si>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 xml:space="preserve">05 1 01 60120 </t>
  </si>
  <si>
    <t xml:space="preserve">Проведение комплексных кадастровых работ  (Закупка товаров, работ и услуг для обеспечения государственных (муниципальных) нужд) </t>
  </si>
  <si>
    <t xml:space="preserve">05 2 01 21580 </t>
  </si>
  <si>
    <t>Оценка недвижимости,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</si>
  <si>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Изготовление технических планов и технических паспортов в отношении объектов капитального строительства (Закупка товаров, работ и услуг для обеспечения государственных (муниципальных) нужд)</t>
  </si>
  <si>
    <t xml:space="preserve">05 3 01 21730 </t>
  </si>
  <si>
    <t>Подпрограмма "Обеспечение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</si>
  <si>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05 4 00 00000</t>
  </si>
  <si>
    <t>Основное мероприятие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t>
  </si>
  <si>
    <t xml:space="preserve">05 4 01 00000 </t>
  </si>
  <si>
    <t xml:space="preserve">05 4 01 21700 </t>
  </si>
  <si>
    <t xml:space="preserve">05 4 01 21710 </t>
  </si>
  <si>
    <r>
      <t>Муниципальная программа Южского муниципального района "Энергоэффективность и энергосбережение в Южском муниципальном районе"</t>
    </r>
    <r>
      <rPr>
        <i/>
        <sz val="10"/>
        <color theme="1"/>
        <rFont val="Times New Roman"/>
        <family val="1"/>
        <charset val="204"/>
      </rPr>
      <t xml:space="preserve"> </t>
    </r>
  </si>
  <si>
    <t>Устранение социальной разобщенности инвалидов и граждан, не являющихся инвалидами  (Закупка товаров, работ и услуг для обеспечения государственных (муниципальных) нужд)</t>
  </si>
  <si>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</si>
  <si>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Развитие кадрового потенциала не муниципальных служащих (Закупка товаров, работ и услуг для обеспечения государственных (муниципальных) нужд)</t>
  </si>
  <si>
    <t xml:space="preserve">08 1 03 20600 </t>
  </si>
  <si>
    <t>Подпрограмма "Повышение доступности и качества предоставления государственных и муниципальных услуг населению на базе муниципального бюджетного учреждения "Южский многофункциональный центр предоставления государственных и муниципальных услуг "Мои Документы"""</t>
  </si>
  <si>
    <t>Подпрограмма "Информационная открытость органов местного самоуправления Южского муниципального района и общественные связи"</t>
  </si>
  <si>
    <t xml:space="preserve">08 4 00 00000 </t>
  </si>
  <si>
    <t>Основное мероприятие "Обеспечение доступа к информации о деятельности органов местного самоуправления"</t>
  </si>
  <si>
    <t xml:space="preserve">08 4 01 00000 </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</si>
  <si>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</si>
  <si>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08 4 01 21180 </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</si>
  <si>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</si>
  <si>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 xml:space="preserve">08 4 01 21280  </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</si>
  <si>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</si>
  <si>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 xml:space="preserve">08 4 01 21420 </t>
  </si>
  <si>
    <t>Основное мероприятие "Укрепление материально-      технической базы"</t>
  </si>
  <si>
    <t xml:space="preserve">08 4 03 00000 </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</si>
  <si>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</si>
  <si>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 xml:space="preserve">08 4 03 20630 </t>
  </si>
  <si>
    <t>Приобретение компьютерной техники (Закупка товаров, работ и услуг для обеспечения государственных (муниципальных) нужд)</t>
  </si>
  <si>
    <t xml:space="preserve">08 4 03 20650 </t>
  </si>
  <si>
    <t xml:space="preserve">11 0 00 00000 </t>
  </si>
  <si>
    <t xml:space="preserve">11 1 00 00000 </t>
  </si>
  <si>
    <t xml:space="preserve">11 1 01 00000 </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</si>
  <si>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</si>
  <si>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 xml:space="preserve">11 1 01 21620 </t>
  </si>
  <si>
    <t>Основное мероприятие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поселений Южского муниципального района, социальную и культурную адаптацию мигрантов, профилактику межнациональных (межэтнических) конфликтов"</t>
  </si>
  <si>
    <t xml:space="preserve">11 1 02 00000 </t>
  </si>
  <si>
    <t xml:space="preserve">11 1 02 21630 </t>
  </si>
  <si>
    <t>12 0 00 00000</t>
  </si>
  <si>
    <t>12 1 00 00000</t>
  </si>
  <si>
    <t>12 1 01 00000</t>
  </si>
  <si>
    <t>12 2 00 00000</t>
  </si>
  <si>
    <t>12 2 01 00000</t>
  </si>
  <si>
    <t>ИТОГО:</t>
  </si>
  <si>
    <t>Основное мероприятие "Оплата услуг по заполнению формы федерального статистического наблюдения"</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</si>
  <si>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</si>
  <si>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Подпрограмма "Обеспечение безопасности населения"</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</si>
  <si>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</si>
  <si>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Организация и проведение мероприятий по работе с детьми и молодежью (Иные бюджетные ассигнования)</t>
  </si>
  <si>
    <t>Основное мероприятие "Профилактика терроризма и экстремизма на территории Южского муниципального района"</t>
  </si>
  <si>
    <t>Муниципальная программа Южского муниципального района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</si>
  <si>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(Закупка товаров, работ и услуг для обеспечения государственных (муниципальных) нужд)</t>
  </si>
  <si>
    <t>31 9 00 80370</t>
  </si>
  <si>
    <t xml:space="preserve">Непрограммные направления деятельности исполнительно-распорядительных органов местного самоуправления Южского муниципального района </t>
  </si>
  <si>
    <t>31 9 00 00000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</si>
  <si>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</si>
  <si>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 xml:space="preserve">Подготовка проектов внесения изменений в Правила землепользования и застройки сельских поселений Южского муниципального района (Закупка товаров, работ и услуг для обеспечения государственных (муниципальных) нужд) </t>
  </si>
  <si>
    <r>
      <t xml:space="preserve">Подготовка проектов внесения изменений в генеральные планы сельских поселений Южского муниципального района (Закупка товаров, работ и услуг для обеспечения государственных (муниципальных) нужд) </t>
    </r>
    <r>
      <rPr>
        <i/>
        <sz val="14"/>
        <rFont val="Times New Roman"/>
        <family val="1"/>
        <charset val="204"/>
      </rPr>
      <t xml:space="preserve"> </t>
    </r>
  </si>
  <si>
    <t>04 4 02 21760</t>
  </si>
  <si>
    <t>05 3 01 21770</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</si>
  <si>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</si>
  <si>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</si>
  <si>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Муниципальная программа Южского муниципального района "Развитие инфраструктуры и улучшение жилищных условий граждан Южского муниципального района"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</si>
  <si>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</si>
  <si>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Подпрограмма "Предоставление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</si>
  <si>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Основное мероприятие "Финансовая поддержка социально-ориентированным некоммерческим организациям"</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</si>
  <si>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</si>
  <si>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Муниципальная программа Южского муниципального района "Поддержка граждан (семей) в приобретении жилья в Южском муниципальном районе"</t>
  </si>
  <si>
    <t>Организация и проведение мероприятий среди молодежи (Иные бюджетные ассигнования)</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</si>
  <si>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</si>
  <si>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02 1 03 21780</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</si>
  <si>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</si>
  <si>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</si>
  <si>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Капитальный ремонт и ремонт автомобильных дорог общего пользования местного значения в сельских поселениях (Закупка товаров, работ и услуг для обеспечения государственных (муниципальных) нужд) </t>
  </si>
  <si>
    <t>02 1 03 21800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</si>
  <si>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</si>
  <si>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 xml:space="preserve">Организация ритуальных услуг и содержание мест захоронения (Закупка товаров, работ и услуг для обеспечения государственных (муниципальных) нужд) </t>
  </si>
  <si>
    <t>02 И 01 21820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</si>
  <si>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</si>
  <si>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Основное мероприятие "Проведение мероприятий направленных на содержание плотины на р.Пионерка (оз. Вазаль)"</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</si>
  <si>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</si>
  <si>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Подпрограмма "Библиотека XXI века: Создание модельной библиотеки на базе сельских библиотечных отделов МКУК "Южская МЦБ""</t>
  </si>
  <si>
    <t xml:space="preserve">Основное мероприятие "Финансовое обеспечение деятельности структурных подразделений Отдела образования администрации Южского муниципального района" </t>
  </si>
  <si>
    <t>01 2 02 21650</t>
  </si>
  <si>
    <t xml:space="preserve">на 2018 год и на плановый </t>
  </si>
  <si>
    <t>период 2019 и 2020 годов"</t>
  </si>
  <si>
    <t xml:space="preserve">Основное мероприятие "Содействие развитию общего образования" </t>
  </si>
  <si>
    <t>Организация питания обучающихся из многодетных семей в муниципальных общеобразовательных организациях Южского муниципального района (Закупка товаров, работ и услуг для обеспечения государственных (муниципальных) нужд)</t>
  </si>
  <si>
    <t xml:space="preserve">Организация питания обучающихся из многодетных семей в муниципальных общеобразовательных организациях Южского муниципального района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</si>
  <si>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</si>
  <si>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</si>
  <si>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</si>
  <si>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</si>
  <si>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</si>
  <si>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</si>
  <si>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</si>
  <si>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Подпрограмма "Организация целевой подготовки педагогов для работы в муниципальных образовательных организациях Южского муниципального района Ивановской области"</t>
  </si>
  <si>
    <t>01 9 00 00000</t>
  </si>
  <si>
    <t>Основное мероприятие "Развитие кадрового потенциала системы образования"</t>
  </si>
  <si>
    <t>01 9 01 00000</t>
  </si>
  <si>
    <t>02 Д 01 21460</t>
  </si>
  <si>
    <t>02 Д 01 21450</t>
  </si>
  <si>
    <t xml:space="preserve">Софинансирование на разработку ПСД по объекту "Распределительный газопровод д. Глушицы, д. Пустынь, с. Новоклязьминское Новоклязьминского сельского поселения"  (Закупка товаров, работ и услуг для обеспечения государственных (муниципальных) нужд) </t>
  </si>
  <si>
    <t xml:space="preserve">Софинансирование на разработку ПСД по объекту "Распределительный газопровод с. Хотимль, д. Емельяново, д. Домнино, д. Травино, д. Кишариха Хотимльского сельского поселения"  (Закупка товаров, работ и услуг для обеспечения государственных (муниципальных) нужд) </t>
  </si>
  <si>
    <r>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(Межбюджетные трансферты) </t>
    </r>
    <r>
      <rPr>
        <i/>
        <sz val="10"/>
        <color rgb="FF002060"/>
        <rFont val="Times New Roman"/>
        <family val="1"/>
        <charset val="204"/>
      </rPr>
      <t xml:space="preserve"> </t>
    </r>
  </si>
  <si>
    <t>02 Д 03 10010</t>
  </si>
  <si>
    <t>02 Д 03 21490</t>
  </si>
  <si>
    <t xml:space="preserve">Разработка ПСД "Строительство резервной артскважины в с. Мугреевский"  (Закупка товаров, работ и услуг для обеспечения государственных (муниципальных) нужд) </t>
  </si>
  <si>
    <t>02 Д 03 21940</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</si>
  <si>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</si>
  <si>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02 Д 07 00000</t>
  </si>
  <si>
    <t>Основное мероприятие "Организация содержания муниципального жилищного фонда в поселениях"</t>
  </si>
  <si>
    <t>02 Д 07 21750</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</si>
  <si>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</si>
  <si>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02 Ж 01 21850</t>
  </si>
  <si>
    <t xml:space="preserve">Мероприятия по предупреждению и устранению последствий весеннего половодья в сельских поселениях Южского муниципального района (Закупка товаров, работ и услуг для обеспечения государственных (муниципальных) нужд)  </t>
  </si>
  <si>
    <t>03 2 02 S1430</t>
  </si>
  <si>
    <t xml:space="preserve">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</si>
  <si>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03 7 01 S1980</t>
  </si>
  <si>
    <t xml:space="preserve">Укрепление материально-технической базы учреждений культуры Южского муниципального района (Закупка товаров, работ и услуг для обеспечения государственных (муниципальных) нужд) </t>
  </si>
  <si>
    <t>Муниципальная программа Южского муниципального района "Содействие в реализации прав граждан на безопасный и здоровый труд"</t>
  </si>
  <si>
    <t>13 0 00 00000</t>
  </si>
  <si>
    <t>Подпрограмма "Улучшение условий и охраны труда в муниципальных учреждениях Южского муниципального района"</t>
  </si>
  <si>
    <t>13 1 00 00000</t>
  </si>
  <si>
    <t>Основное мероприятие "Совершенствование охраны труда в муниципальных учреждениях"</t>
  </si>
  <si>
    <t>13 1 01 00000</t>
  </si>
  <si>
    <t xml:space="preserve">Проведение специальной оценки условий труда  (Закупка товаров, работ и услуг для обеспечения государственных (муниципальных) нужд) </t>
  </si>
  <si>
    <t xml:space="preserve">13 1 01 21990 </t>
  </si>
  <si>
    <t xml:space="preserve">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 </t>
  </si>
  <si>
    <t>13 1 01 22010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</si>
  <si>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</si>
  <si>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31 9 00 00240</t>
  </si>
  <si>
    <t>31 9 00 10050</t>
  </si>
  <si>
    <t>31 9 00 10060</t>
  </si>
  <si>
    <t>31 9 00 21930</t>
  </si>
  <si>
    <t>31 9 00 66130</t>
  </si>
  <si>
    <t>31 9 00 90040</t>
  </si>
  <si>
    <t>Организация и проведение конкурса на право заключения концессионного соглашения, подготовку конкурсной документации (Закупка товаров, работ и услуг для обеспечения государственных (муниципальных) нужд)</t>
  </si>
  <si>
    <t xml:space="preserve">Содержание и обслуживание казны (Закупка товаров, работ и услуг для обеспечения государственных (муниципальных) нужд) </t>
  </si>
  <si>
    <t xml:space="preserve">Мероприятия по обеспечению безопасности людей на водных объектах, охране их жизни и здоровья (Межбюджетные трансферты)  </t>
  </si>
  <si>
    <t>Исполнение судебных актов, оплата судебных издержек по ним (Иные бюджетные ассигнования)</t>
  </si>
  <si>
    <t xml:space="preserve">Организация дополнительного пенсионного обеспечения отдельных категорий граждан  (Социальное обеспечение и иные выплаты населению) </t>
  </si>
  <si>
    <t>Создание в общеобразовательных организациях, расположенных в сельской местности, условий для занятий физической культурой и спортом в 2018 году (Закупка товаров, работ и услуг для обеспечения государственных (муниципальных) нужд)</t>
  </si>
  <si>
    <t>03 2 02 81430</t>
  </si>
  <si>
    <t>Софинансирование расходов,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</si>
  <si>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03 1 02 80340</t>
  </si>
  <si>
    <t xml:space="preserve">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</si>
  <si>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Комплектование книжных фондов библиотек муниципальных образований (Закупка товаров, работ и услуг для обеспечения государственных (муниципальных) нужд)</t>
  </si>
  <si>
    <t>01 1 03 80090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</si>
  <si>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(Закупка товаров, работ и услуг для обеспечения государственных (муниципальных) нужд)</t>
  </si>
  <si>
    <t>31 9 00 82400</t>
  </si>
  <si>
    <t>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(Закупка товаров, работ и услуг для обеспечения государственных (муниципальных) нужд)</t>
  </si>
  <si>
    <t>31 9 00 51200</t>
  </si>
  <si>
    <t xml:space="preserve">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(Межбюджетные трансферты)  </t>
  </si>
  <si>
    <t>08 2 01 S2910</t>
  </si>
  <si>
    <t xml:space="preserve">Расходы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</si>
  <si>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 xml:space="preserve">Иные межбюджетные трансферты из бюджета Южского муниципального района бюджетам сельских поселений на исполнение части полномочий по решению вопросов местного значения, предусмотренных пунктами 4, 6, 22, 26, 31, 33.1, 33.2, 38 части 1 статьи 14 Федерального закона от 06.10.2003 № 131-ФЗ "Об общих принципах организации местного самоуправления в Российской Федерации" (Межбюджетные трансферты) </t>
  </si>
  <si>
    <t xml:space="preserve">Основное мероприятие "Содействие развитию дополнительного образования" </t>
  </si>
  <si>
    <t>01 3 02 00000</t>
  </si>
  <si>
    <t>01 3 02 22030</t>
  </si>
  <si>
    <t>Сумма, руб.</t>
  </si>
  <si>
    <t>Подпрограмма "Библиотечный фонд-стратегический ресурс общества"</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</si>
  <si>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</si>
  <si>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</si>
  <si>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Основное мероприятие «Проведение энергетических обследований (энергоаудита) муниципальных учреждений Южского муниципального района»</t>
  </si>
  <si>
    <t>06 1 02 00000</t>
  </si>
  <si>
    <t>06 1 02 22060</t>
  </si>
  <si>
    <t>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t>
  </si>
  <si>
    <t>Распределение бюджетных ассигнований по целевым статьям (муниципальным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(исполнительно-распорядительных органов Южского муниципального района)), группам видов расходов классификации расходов бюджета Южского муниципального района на 2018 год</t>
  </si>
  <si>
    <t>Проведение энергоаудита Комитета по управлению муниципальным имуществом администрации Южского муниципального района Ивановской области (Закупка товаров, работ и услуг для обеспечения государственных (муниципальных) нужд)</t>
  </si>
  <si>
    <t>Подпрограмма "Реализация мероприятий, направленных на вовлечение населения в культурную жизнь района"</t>
  </si>
  <si>
    <t>01 3 01 S1420</t>
  </si>
  <si>
    <t>01 3 01 81420</t>
  </si>
  <si>
    <t>03 7 01 81980</t>
  </si>
  <si>
    <t>Расходы на 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t>
  </si>
  <si>
    <t>Софинансирование расходов,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</si>
  <si>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Укрепление материально-технической базы муниципальных учреждений культуры Ивановской области (Закупка товаров, работ и услуг для обеспечения государственных (муниципальных) нужд)</t>
  </si>
  <si>
    <t xml:space="preserve">Укрепление материально-технической базы муниципальных образовательных организаций Ивановской области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</si>
  <si>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</si>
  <si>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от 22.12.2017 № 131</t>
  </si>
  <si>
    <t>"Приложение № 6</t>
  </si>
  <si>
    <t>"О внесении изменений и дополнений</t>
  </si>
  <si>
    <t xml:space="preserve">в решение Совета Южского </t>
  </si>
  <si>
    <t>от 22.12.2017 № 131 "О бюджете</t>
  </si>
  <si>
    <t>Южского муниципального района</t>
  </si>
  <si>
    <t>на 2018 год и на плановый</t>
  </si>
  <si>
    <t>период 2019 и 2020 годов""</t>
  </si>
  <si>
    <t>Основное мероприятие "Укрепление материально-технической базы общеобразовательных организаций Южского муниципального района"</t>
  </si>
  <si>
    <t>01 2 03 00000</t>
  </si>
  <si>
    <t xml:space="preserve">Проведение экспертизы проектно-сметной документации на капитальный ремонт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</si>
  <si>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01 2 03 22020</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</si>
  <si>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</si>
  <si>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</si>
  <si>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31 9 00 22090</t>
  </si>
  <si>
    <t>Погашение кредиторской задолженности 2017 года (Закупка товаров, работ и услуг для обеспечения государственных (муниципальных) нужд)</t>
  </si>
  <si>
    <t>"</t>
  </si>
  <si>
    <t>12 2 01 S3100</t>
  </si>
  <si>
    <t xml:space="preserve">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 </t>
  </si>
  <si>
    <t>01 2 03 81950</t>
  </si>
  <si>
    <t>01 2 03 S1950</t>
  </si>
  <si>
    <t>01 2 03 L0971</t>
  </si>
  <si>
    <t>01 2 03 22110</t>
  </si>
  <si>
    <t xml:space="preserve">Разработка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</si>
  <si>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03 3 01 L5191</t>
  </si>
  <si>
    <t xml:space="preserve">07 1 02 22120 </t>
  </si>
  <si>
    <t>12 1 01 66110</t>
  </si>
  <si>
    <t xml:space="preserve">Предоставление дополнительных социальных выплат за счет средств местного бюджета в размере 5 процентов расчетной (средней) стоимости жилья при рождении (усыновлении) 1 и более ребенка (Социальное обеспечение и иные выплаты населению) </t>
  </si>
  <si>
    <t>30 9 00 10230</t>
  </si>
  <si>
    <t xml:space="preserve">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</si>
  <si>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31 9 00 22100</t>
  </si>
  <si>
    <t xml:space="preserve">Оказание единовременной материальной помощи постоянно проживающей и зарегистрированной по месту жительства семье, пострадавшей в результате пожара, произошедшего 12 декабря 2017 года по адресу: Ивановская область, Южский район, с. Мугреево-Никольское, ул. Молодежная, д. 6 (Социальное обеспечение и иные выплаты населению) </t>
  </si>
  <si>
    <t>12 1 01 L4970</t>
  </si>
  <si>
    <t xml:space="preserve">Обеспечение доступности к объектам и услугам в органах местного самоуправления для инвалидов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</si>
  <si>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</si>
  <si>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</si>
  <si>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02 Ж 01 22130</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</si>
  <si>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</si>
  <si>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01 9 01 S3110</t>
  </si>
  <si>
    <t>Организация целевой подготовки педагогов для работы в муниципальных образовательных организациях Ивановской области (Предоставление субсидий бюджетным, автономным учреждениям и иным некоммерческим организациям)</t>
  </si>
  <si>
    <t xml:space="preserve">Софинансирование на проведение капитального ремонта помещений муниципального казённого дошкольного образовательного учреждения Мугреевский детский сад для размещения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</si>
  <si>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Проведение экспертизы проектно-сметной документации на капитальный ремонт спортивного зала муниципального казённого общеобразовательного учреждения средняя общеобразовательная школа с. Мугреевский (Закупка товаров, работ и услуг для обеспечения государственных (муниципальных) нужд)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</si>
  <si>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</si>
  <si>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01 5 01 22040</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</si>
  <si>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</si>
  <si>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01 9 01 83110</t>
  </si>
  <si>
    <t>02 1 03 21810</t>
  </si>
  <si>
    <t xml:space="preserve">Капитальный ремонт и ремонт автомобильных дорог общего пользования местного значения Южского муниципального района (Закупка товаров, работ и услуг для обеспечения государственных (муниципальных) нужд) </t>
  </si>
  <si>
    <t xml:space="preserve">Поставка глубинных насосов для системы водоснабжения в границах сельских поселений (Закупка товаров, работ и услуг для обеспечения государственных (муниципальных) нужд) </t>
  </si>
  <si>
    <t>01 2 03 22140</t>
  </si>
  <si>
    <t>01 2 03 22150</t>
  </si>
  <si>
    <t>02 Д 03 22160</t>
  </si>
  <si>
    <t>Содержание и обслуживание казны (Иные бюджетные ассигнования)</t>
  </si>
  <si>
    <t>Приложение № 5</t>
  </si>
  <si>
    <t>02 Д 01 S2990</t>
  </si>
  <si>
    <t xml:space="preserve">Разработка проектной документации "Строительство распределительных газопроводов в с. Хотимль, д. Емельяново, д. Кишариха, д. Колягино, д. Домнино Южского района Ивановской области" (Закупка товаров, работ и услуг для обеспечения государственных (муниципальных) нужд) </t>
  </si>
  <si>
    <t>02 К 00 00000</t>
  </si>
  <si>
    <t>02 К 01 R0820</t>
  </si>
  <si>
    <t>02 К 01 00000</t>
  </si>
  <si>
    <t>Проведение спортивно-оздоровительных и спортивно-массовых мероприятий среди населения района  (Иные бюджетные ассигнования)</t>
  </si>
  <si>
    <t>08 2 01 82910</t>
  </si>
  <si>
    <t xml:space="preserve">Софинансирование расходов по обеспечению функционирования многофункциональных центров предоставления государственных и муниципальных услуг (Предоставление субсидий бюджетным, автономным учреждениям и иным некоммерческим организациям) </t>
  </si>
  <si>
    <t>Основное мероприятие "Предоставление мер социальной поддержки детям-сиротам и детям, оставшимся без попечения родителей, лицам из числа указанной категории детей"</t>
  </si>
  <si>
    <t>Подпрограмма "Меры социальной поддержки детям-сиротам и детям, оставшимся без попечения родителей, лицам из числа указанной категории детей"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</si>
  <si>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t>
  </si>
  <si>
    <t>от 25.05.2018 № 44</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</si>
</sst>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b/>
      <sz val="14"/>
      <name val="Times New Roman"/>
      <family val="1"/>
      <charset val="204"/>
    </font>
    <font>
      <sz val="14"/>
      <name val="Times New Roman"/>
      <family val="1"/>
      <charset val="204"/>
    </font>
    <font>
      <i/>
      <sz val="14"/>
      <name val="Times New Roman"/>
      <family val="1"/>
      <charset val="204"/>
    </font>
    <font>
      <sz val="10"/>
      <name val="Times New Roman"/>
      <family val="1"/>
      <charset val="204"/>
    </font>
    <font>
      <i/>
      <sz val="10"/>
      <color rgb="FF002060"/>
      <name val="Times New Roman"/>
      <family val="1"/>
      <charset val="204"/>
    </font>
    <font>
      <i/>
      <sz val="10"/>
      <name val="Times New Roman"/>
      <family val="1"/>
      <charset val="204"/>
    </font>
    <font>
      <b/>
      <sz val="14"/>
      <color theme="1"/>
      <name val="Times New Roman"/>
      <family val="1"/>
      <charset val="204"/>
    </font>
    <font>
      <i/>
      <sz val="14"/>
      <color theme="1"/>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5">
    <xf numFmtId="0" fontId="0" fillId="0" borderId="0" xfId="0"/>
    <xf numFmtId="0" fontId="2" fillId="0" borderId="0" xfId="0" applyFont="1" applyFill="1"/>
    <xf numFmtId="0" fontId="2" fillId="0" borderId="0" xfId="0" applyFont="1" applyFill="1" applyAlignment="1">
      <alignment horizontal="center" vertical="center"/>
    </xf>
    <xf numFmtId="0" fontId="3" fillId="0" borderId="0" xfId="0" applyFont="1" applyFill="1"/>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xf numFmtId="0" fontId="2" fillId="0" borderId="0" xfId="0" applyFont="1" applyFill="1" applyAlignment="1">
      <alignment vertical="top"/>
    </xf>
    <xf numFmtId="0" fontId="2" fillId="0" borderId="0" xfId="0" applyFont="1" applyFill="1" applyAlignment="1">
      <alignment horizontal="center" vertical="top"/>
    </xf>
    <xf numFmtId="0" fontId="2" fillId="2" borderId="1" xfId="0" applyFont="1" applyFill="1" applyBorder="1" applyAlignment="1">
      <alignment horizontal="center" vertical="center"/>
    </xf>
    <xf numFmtId="0" fontId="2" fillId="0" borderId="0" xfId="0" applyFont="1" applyFill="1" applyAlignment="1">
      <alignment horizontal="right"/>
    </xf>
    <xf numFmtId="0" fontId="1" fillId="0" borderId="1" xfId="0" applyFont="1" applyFill="1" applyBorder="1"/>
    <xf numFmtId="0" fontId="7" fillId="0" borderId="1" xfId="0" applyFont="1" applyFill="1" applyBorder="1" applyAlignment="1">
      <alignment horizontal="justify" vertical="top"/>
    </xf>
    <xf numFmtId="0" fontId="7" fillId="0" borderId="1" xfId="0" applyFont="1" applyFill="1" applyBorder="1" applyAlignment="1">
      <alignment horizontal="center" vertical="center"/>
    </xf>
    <xf numFmtId="0" fontId="8" fillId="0" borderId="1" xfId="0" applyFont="1" applyFill="1" applyBorder="1" applyAlignment="1">
      <alignment horizontal="justify" vertical="top"/>
    </xf>
    <xf numFmtId="0" fontId="8" fillId="0" borderId="1" xfId="0" applyFont="1" applyFill="1" applyBorder="1" applyAlignment="1">
      <alignment horizontal="center" vertical="center"/>
    </xf>
    <xf numFmtId="0" fontId="9" fillId="0" borderId="1" xfId="0" applyFont="1" applyFill="1" applyBorder="1" applyAlignment="1">
      <alignment horizontal="justify" vertical="top"/>
    </xf>
    <xf numFmtId="0" fontId="9" fillId="0" borderId="1" xfId="0" applyFont="1" applyFill="1" applyBorder="1" applyAlignment="1">
      <alignment horizontal="center" vertical="center"/>
    </xf>
    <xf numFmtId="0" fontId="9" fillId="0" borderId="1" xfId="0" applyFont="1" applyFill="1" applyBorder="1" applyAlignment="1">
      <alignment horizontal="justify" vertical="top" wrapText="1"/>
    </xf>
    <xf numFmtId="0" fontId="9" fillId="0" borderId="1" xfId="0" applyFont="1" applyBorder="1" applyAlignment="1">
      <alignment horizontal="justify" vertical="top" wrapText="1"/>
    </xf>
    <xf numFmtId="0" fontId="7" fillId="0" borderId="1" xfId="0" applyFont="1" applyFill="1" applyBorder="1" applyAlignment="1">
      <alignment horizontal="left" vertical="top" wrapText="1"/>
    </xf>
    <xf numFmtId="0" fontId="8" fillId="0" borderId="1" xfId="0" applyFont="1" applyBorder="1" applyAlignment="1">
      <alignment horizontal="justify" vertical="top" wrapText="1"/>
    </xf>
    <xf numFmtId="0" fontId="8" fillId="0" borderId="1" xfId="0" applyFont="1" applyBorder="1" applyAlignment="1">
      <alignment horizontal="center" vertical="center"/>
    </xf>
    <xf numFmtId="0" fontId="9" fillId="0" borderId="1" xfId="0" applyFont="1" applyBorder="1" applyAlignment="1">
      <alignment horizontal="justify" vertical="top"/>
    </xf>
    <xf numFmtId="0" fontId="7" fillId="0" borderId="1" xfId="0" applyFont="1" applyBorder="1" applyAlignment="1">
      <alignment horizontal="justify" vertical="top" wrapText="1"/>
    </xf>
    <xf numFmtId="0" fontId="9" fillId="0" borderId="1" xfId="0" applyFont="1" applyBorder="1" applyAlignment="1">
      <alignment horizontal="center" vertical="center"/>
    </xf>
    <xf numFmtId="0" fontId="8" fillId="0" borderId="1" xfId="0" applyFont="1" applyFill="1" applyBorder="1" applyAlignment="1">
      <alignment horizontal="justify" vertical="top" wrapText="1"/>
    </xf>
    <xf numFmtId="0" fontId="8" fillId="0" borderId="1" xfId="0" applyFont="1" applyBorder="1" applyAlignment="1">
      <alignment vertical="top"/>
    </xf>
    <xf numFmtId="0" fontId="7" fillId="0" borderId="1" xfId="0" applyNumberFormat="1" applyFont="1" applyBorder="1" applyAlignment="1">
      <alignment horizontal="justify" vertical="top" wrapText="1"/>
    </xf>
    <xf numFmtId="0" fontId="7" fillId="0" borderId="1" xfId="0" applyFont="1" applyBorder="1" applyAlignment="1">
      <alignment horizontal="center" vertical="center"/>
    </xf>
    <xf numFmtId="0" fontId="9" fillId="2" borderId="1" xfId="0" applyFont="1" applyFill="1" applyBorder="1" applyAlignment="1">
      <alignment horizontal="justify" vertical="top"/>
    </xf>
    <xf numFmtId="0" fontId="9" fillId="2" borderId="1" xfId="0" applyFont="1" applyFill="1" applyBorder="1" applyAlignment="1">
      <alignment horizontal="center" vertical="center"/>
    </xf>
    <xf numFmtId="0" fontId="3" fillId="2" borderId="1" xfId="0" applyFont="1" applyFill="1" applyBorder="1" applyAlignment="1">
      <alignment horizontal="center" vertical="center"/>
    </xf>
    <xf numFmtId="2" fontId="9" fillId="0" borderId="1" xfId="0" applyNumberFormat="1" applyFont="1" applyFill="1" applyBorder="1" applyAlignment="1">
      <alignment horizontal="justify" vertical="top" wrapText="1"/>
    </xf>
    <xf numFmtId="0" fontId="1" fillId="0" borderId="1" xfId="0" applyFont="1" applyFill="1" applyBorder="1" applyAlignment="1">
      <alignment vertical="top"/>
    </xf>
    <xf numFmtId="0" fontId="1" fillId="0" borderId="1" xfId="0" applyFont="1" applyFill="1" applyBorder="1" applyAlignment="1">
      <alignment horizontal="center" vertical="top"/>
    </xf>
    <xf numFmtId="4" fontId="2" fillId="0" borderId="1" xfId="0" applyNumberFormat="1" applyFont="1" applyFill="1" applyBorder="1" applyAlignment="1">
      <alignment horizontal="center" vertical="center"/>
    </xf>
    <xf numFmtId="4" fontId="2" fillId="0" borderId="0" xfId="0" applyNumberFormat="1" applyFont="1" applyFill="1" applyAlignment="1">
      <alignment horizontal="center" vertical="center"/>
    </xf>
    <xf numFmtId="4" fontId="1" fillId="0"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xf>
    <xf numFmtId="4" fontId="4" fillId="0" borderId="0" xfId="0" applyNumberFormat="1" applyFont="1" applyFill="1" applyAlignment="1">
      <alignment horizontal="center" vertical="center"/>
    </xf>
    <xf numFmtId="0" fontId="2" fillId="2" borderId="1" xfId="0" applyFont="1" applyFill="1" applyBorder="1" applyAlignment="1">
      <alignment horizontal="justify" vertical="top"/>
    </xf>
    <xf numFmtId="0" fontId="9" fillId="2" borderId="1" xfId="0" applyFont="1" applyFill="1" applyBorder="1" applyAlignment="1">
      <alignment horizontal="justify" vertical="top" wrapText="1"/>
    </xf>
    <xf numFmtId="0" fontId="7" fillId="2" borderId="1" xfId="0" applyFont="1" applyFill="1" applyBorder="1" applyAlignment="1">
      <alignment horizontal="justify" vertical="top"/>
    </xf>
    <xf numFmtId="0" fontId="2" fillId="0" borderId="1" xfId="0" applyFont="1" applyBorder="1" applyAlignment="1">
      <alignment horizontal="justify" vertical="top" wrapText="1"/>
    </xf>
    <xf numFmtId="0" fontId="7" fillId="2" borderId="1" xfId="0" applyFont="1" applyFill="1" applyBorder="1" applyAlignment="1">
      <alignment horizontal="justify" vertical="top" wrapText="1"/>
    </xf>
    <xf numFmtId="0" fontId="8" fillId="2" borderId="1" xfId="0" applyFont="1" applyFill="1" applyBorder="1" applyAlignment="1">
      <alignment horizontal="justify" vertical="top" wrapText="1"/>
    </xf>
    <xf numFmtId="0" fontId="8" fillId="2" borderId="1" xfId="0" applyFont="1" applyFill="1" applyBorder="1" applyAlignment="1">
      <alignment horizontal="center" vertical="center"/>
    </xf>
    <xf numFmtId="4" fontId="3" fillId="2" borderId="1" xfId="0" applyNumberFormat="1" applyFont="1" applyFill="1" applyBorder="1" applyAlignment="1">
      <alignment horizontal="center" vertical="center"/>
    </xf>
    <xf numFmtId="0" fontId="8" fillId="0" borderId="1" xfId="0" applyFont="1" applyBorder="1" applyAlignment="1">
      <alignment horizontal="justify" vertical="top"/>
    </xf>
    <xf numFmtId="0" fontId="2" fillId="2" borderId="1" xfId="0" applyFont="1" applyFill="1" applyBorder="1" applyAlignment="1">
      <alignment horizontal="justify" vertical="top" wrapText="1"/>
    </xf>
    <xf numFmtId="0" fontId="7" fillId="2" borderId="1" xfId="0" applyFont="1" applyFill="1" applyBorder="1" applyAlignment="1">
      <alignment horizontal="center" vertical="center"/>
    </xf>
    <xf numFmtId="0" fontId="8" fillId="2" borderId="1" xfId="0" applyFont="1" applyFill="1" applyBorder="1" applyAlignment="1">
      <alignment horizontal="justify" vertical="top"/>
    </xf>
    <xf numFmtId="49" fontId="9"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9" fillId="0" borderId="1" xfId="0" applyFont="1" applyBorder="1" applyAlignment="1">
      <alignment horizontal="justify" wrapText="1"/>
    </xf>
    <xf numFmtId="4" fontId="1" fillId="2" borderId="1" xfId="0" applyNumberFormat="1" applyFont="1" applyFill="1" applyBorder="1" applyAlignment="1">
      <alignment horizontal="center" vertical="center"/>
    </xf>
    <xf numFmtId="0" fontId="2" fillId="0" borderId="0" xfId="0" applyFont="1" applyFill="1" applyAlignment="1">
      <alignment horizontal="right" vertical="center"/>
    </xf>
    <xf numFmtId="4" fontId="2" fillId="0" borderId="0" xfId="0" applyNumberFormat="1" applyFont="1" applyFill="1"/>
    <xf numFmtId="0" fontId="3" fillId="2" borderId="1" xfId="0" applyFont="1" applyFill="1" applyBorder="1" applyAlignment="1">
      <alignment horizontal="justify" vertical="top" wrapText="1"/>
    </xf>
    <xf numFmtId="49" fontId="9" fillId="0" borderId="1" xfId="0" applyNumberFormat="1" applyFont="1" applyFill="1" applyBorder="1" applyAlignment="1">
      <alignment horizontal="center" vertical="center"/>
    </xf>
    <xf numFmtId="4" fontId="2" fillId="0" borderId="0" xfId="0" applyNumberFormat="1" applyFont="1" applyFill="1" applyAlignment="1">
      <alignment horizontal="right" vertical="center"/>
    </xf>
    <xf numFmtId="0" fontId="9" fillId="0" borderId="0" xfId="0" applyFont="1" applyAlignment="1">
      <alignment horizontal="justify" vertical="top" wrapText="1"/>
    </xf>
    <xf numFmtId="0" fontId="9" fillId="0" borderId="0" xfId="0" applyFont="1" applyAlignment="1">
      <alignment horizontal="center" vertical="center"/>
    </xf>
    <xf numFmtId="0" fontId="2" fillId="0" borderId="0" xfId="0" applyFont="1" applyFill="1" applyAlignment="1">
      <alignment horizontal="right"/>
    </xf>
    <xf numFmtId="0" fontId="11" fillId="0" borderId="0" xfId="0" applyFont="1" applyFill="1" applyAlignment="1">
      <alignment horizontal="right" wrapText="1"/>
    </xf>
    <xf numFmtId="0" fontId="2" fillId="0" borderId="0" xfId="0" applyFont="1" applyFill="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1" fillId="0" borderId="0" xfId="0" applyFont="1" applyFill="1" applyAlignment="1">
      <alignment horizontal="center" vertical="top" wrapText="1"/>
    </xf>
    <xf numFmtId="0" fontId="5" fillId="0" borderId="2" xfId="0" applyFont="1" applyFill="1" applyBorder="1" applyAlignment="1">
      <alignment horizontal="center" vertical="top" wrapText="1"/>
    </xf>
    <xf numFmtId="4" fontId="2" fillId="0" borderId="1" xfId="0" applyNumberFormat="1" applyFont="1" applyFill="1" applyBorder="1" applyAlignment="1">
      <alignment horizontal="center" vertical="center" wrapText="1"/>
    </xf>
    <xf numFmtId="0" fontId="11" fillId="0" borderId="0" xfId="0" applyFont="1" applyFill="1" applyAlignment="1">
      <alignment horizontal="righ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51"/>
  <sheetViews>
    <sheetView tabSelected="1" zoomScale="90" zoomScaleNormal="90" workbookViewId="0">
      <selection activeCell="B11" sqref="B11:D11"/>
    </sheetView>
  </sheetViews>
  <sheetFormatPr defaultRowHeight="18.75" x14ac:dyDescent="0.3"/>
  <cols>
    <col min="1" max="1" width="62.5703125" style="1" customWidth="1"/>
    <col min="2" max="2" width="18.7109375" style="1" customWidth="1"/>
    <col min="3" max="3" width="8.85546875" style="2" customWidth="1"/>
    <col min="4" max="4" width="21.7109375" style="39" customWidth="1"/>
    <col min="5" max="5" width="20.85546875" style="1" customWidth="1"/>
    <col min="6" max="16384" width="9.140625" style="1"/>
  </cols>
  <sheetData>
    <row r="1" spans="2:4" x14ac:dyDescent="0.3">
      <c r="B1" s="66" t="s">
        <v>598</v>
      </c>
      <c r="C1" s="66"/>
      <c r="D1" s="66"/>
    </row>
    <row r="2" spans="2:4" x14ac:dyDescent="0.3">
      <c r="B2" s="66" t="s">
        <v>158</v>
      </c>
      <c r="C2" s="66"/>
      <c r="D2" s="66"/>
    </row>
    <row r="3" spans="2:4" x14ac:dyDescent="0.3">
      <c r="B3" s="66" t="s">
        <v>159</v>
      </c>
      <c r="C3" s="66"/>
      <c r="D3" s="66"/>
    </row>
    <row r="4" spans="2:4" x14ac:dyDescent="0.3">
      <c r="B4" s="66" t="s">
        <v>547</v>
      </c>
      <c r="C4" s="66"/>
      <c r="D4" s="66"/>
    </row>
    <row r="5" spans="2:4" x14ac:dyDescent="0.3">
      <c r="B5" s="66" t="s">
        <v>548</v>
      </c>
      <c r="C5" s="66"/>
      <c r="D5" s="66"/>
    </row>
    <row r="6" spans="2:4" x14ac:dyDescent="0.3">
      <c r="B6" s="66" t="s">
        <v>159</v>
      </c>
      <c r="C6" s="66"/>
      <c r="D6" s="66"/>
    </row>
    <row r="7" spans="2:4" x14ac:dyDescent="0.3">
      <c r="B7" s="66" t="s">
        <v>549</v>
      </c>
      <c r="C7" s="66"/>
      <c r="D7" s="66"/>
    </row>
    <row r="8" spans="2:4" x14ac:dyDescent="0.3">
      <c r="B8" s="66" t="s">
        <v>550</v>
      </c>
      <c r="C8" s="66"/>
      <c r="D8" s="66"/>
    </row>
    <row r="9" spans="2:4" x14ac:dyDescent="0.3">
      <c r="B9" s="66" t="s">
        <v>551</v>
      </c>
      <c r="C9" s="66"/>
      <c r="D9" s="66"/>
    </row>
    <row r="10" spans="2:4" x14ac:dyDescent="0.3">
      <c r="B10" s="66" t="s">
        <v>552</v>
      </c>
      <c r="C10" s="66"/>
      <c r="D10" s="66"/>
    </row>
    <row r="11" spans="2:4" x14ac:dyDescent="0.3">
      <c r="B11" s="74" t="s">
        <v>610</v>
      </c>
      <c r="C11" s="74"/>
      <c r="D11" s="74"/>
    </row>
    <row r="13" spans="2:4" x14ac:dyDescent="0.3">
      <c r="B13" s="68" t="s">
        <v>546</v>
      </c>
      <c r="C13" s="68"/>
      <c r="D13" s="68"/>
    </row>
    <row r="14" spans="2:4" x14ac:dyDescent="0.3">
      <c r="B14" s="68" t="s">
        <v>158</v>
      </c>
      <c r="C14" s="68"/>
      <c r="D14" s="68"/>
    </row>
    <row r="15" spans="2:4" x14ac:dyDescent="0.3">
      <c r="B15" s="68" t="s">
        <v>159</v>
      </c>
      <c r="C15" s="68"/>
      <c r="D15" s="68"/>
    </row>
    <row r="16" spans="2:4" x14ac:dyDescent="0.3">
      <c r="B16" s="66" t="s">
        <v>160</v>
      </c>
      <c r="C16" s="66"/>
      <c r="D16" s="66"/>
    </row>
    <row r="17" spans="1:4" x14ac:dyDescent="0.3">
      <c r="B17" s="66" t="s">
        <v>161</v>
      </c>
      <c r="C17" s="66"/>
      <c r="D17" s="66"/>
    </row>
    <row r="18" spans="1:4" x14ac:dyDescent="0.3">
      <c r="B18" s="66" t="s">
        <v>450</v>
      </c>
      <c r="C18" s="66"/>
      <c r="D18" s="66"/>
    </row>
    <row r="19" spans="1:4" x14ac:dyDescent="0.3">
      <c r="B19" s="66" t="s">
        <v>451</v>
      </c>
      <c r="C19" s="66"/>
      <c r="D19" s="66"/>
    </row>
    <row r="20" spans="1:4" ht="18.75" customHeight="1" x14ac:dyDescent="0.3">
      <c r="B20" s="67" t="s">
        <v>545</v>
      </c>
      <c r="C20" s="67"/>
      <c r="D20" s="67"/>
    </row>
    <row r="21" spans="1:4" x14ac:dyDescent="0.3">
      <c r="B21" s="12"/>
      <c r="C21" s="59"/>
    </row>
    <row r="22" spans="1:4" ht="125.25" customHeight="1" x14ac:dyDescent="0.3">
      <c r="A22" s="71" t="s">
        <v>534</v>
      </c>
      <c r="B22" s="71"/>
      <c r="C22" s="71"/>
      <c r="D22" s="71"/>
    </row>
    <row r="23" spans="1:4" ht="22.5" customHeight="1" x14ac:dyDescent="0.3">
      <c r="A23" s="72"/>
      <c r="B23" s="72"/>
      <c r="C23" s="72"/>
      <c r="D23" s="72"/>
    </row>
    <row r="24" spans="1:4" ht="18.75" customHeight="1" x14ac:dyDescent="0.3">
      <c r="A24" s="69" t="s">
        <v>155</v>
      </c>
      <c r="B24" s="69" t="s">
        <v>156</v>
      </c>
      <c r="C24" s="70" t="s">
        <v>157</v>
      </c>
      <c r="D24" s="73" t="s">
        <v>526</v>
      </c>
    </row>
    <row r="25" spans="1:4" ht="42" customHeight="1" x14ac:dyDescent="0.3">
      <c r="A25" s="69"/>
      <c r="B25" s="69"/>
      <c r="C25" s="70"/>
      <c r="D25" s="73"/>
    </row>
    <row r="26" spans="1:4" x14ac:dyDescent="0.3">
      <c r="A26" s="6">
        <v>1</v>
      </c>
      <c r="B26" s="6">
        <v>2</v>
      </c>
      <c r="C26" s="6">
        <v>3</v>
      </c>
      <c r="D26" s="6">
        <v>4</v>
      </c>
    </row>
    <row r="27" spans="1:4" s="8" customFormat="1" ht="69" customHeight="1" x14ac:dyDescent="0.3">
      <c r="A27" s="14" t="s">
        <v>211</v>
      </c>
      <c r="B27" s="15" t="s">
        <v>0</v>
      </c>
      <c r="C27" s="7"/>
      <c r="D27" s="58">
        <f>D28+D46+D69+D76+D85+D92+D96+D101</f>
        <v>201664650.07000002</v>
      </c>
    </row>
    <row r="28" spans="1:4" s="8" customFormat="1" ht="112.5" x14ac:dyDescent="0.3">
      <c r="A28" s="14" t="s">
        <v>212</v>
      </c>
      <c r="B28" s="15" t="s">
        <v>1</v>
      </c>
      <c r="C28" s="7"/>
      <c r="D28" s="58">
        <f>D29+D38+D41</f>
        <v>72755124</v>
      </c>
    </row>
    <row r="29" spans="1:4" s="3" customFormat="1" ht="54" customHeight="1" x14ac:dyDescent="0.3">
      <c r="A29" s="16" t="s">
        <v>213</v>
      </c>
      <c r="B29" s="17" t="s">
        <v>2</v>
      </c>
      <c r="C29" s="5"/>
      <c r="D29" s="50">
        <f>SUM(D30:D37)</f>
        <v>70139952.030000001</v>
      </c>
    </row>
    <row r="30" spans="1:4" ht="168.75" x14ac:dyDescent="0.3">
      <c r="A30" s="18" t="s">
        <v>214</v>
      </c>
      <c r="B30" s="19" t="s">
        <v>3</v>
      </c>
      <c r="C30" s="4">
        <v>100</v>
      </c>
      <c r="D30" s="41">
        <f>2843679.16+858923.37-11022.53+4400</f>
        <v>3695980.0000000005</v>
      </c>
    </row>
    <row r="31" spans="1:4" ht="127.5" customHeight="1" x14ac:dyDescent="0.3">
      <c r="A31" s="20" t="s">
        <v>215</v>
      </c>
      <c r="B31" s="19" t="s">
        <v>3</v>
      </c>
      <c r="C31" s="4">
        <v>200</v>
      </c>
      <c r="D31" s="41">
        <f>4249100+11022.53+65000-4400</f>
        <v>4320722.53</v>
      </c>
    </row>
    <row r="32" spans="1:4" ht="131.25" x14ac:dyDescent="0.3">
      <c r="A32" s="18" t="s">
        <v>216</v>
      </c>
      <c r="B32" s="19" t="s">
        <v>3</v>
      </c>
      <c r="C32" s="4">
        <v>600</v>
      </c>
      <c r="D32" s="41">
        <f>24267052.5+229986-145000</f>
        <v>24352038.5</v>
      </c>
    </row>
    <row r="33" spans="1:5" ht="106.5" customHeight="1" x14ac:dyDescent="0.3">
      <c r="A33" s="18" t="s">
        <v>165</v>
      </c>
      <c r="B33" s="19" t="s">
        <v>3</v>
      </c>
      <c r="C33" s="4">
        <v>800</v>
      </c>
      <c r="D33" s="41">
        <f>84000+9000-65000</f>
        <v>28000</v>
      </c>
    </row>
    <row r="34" spans="1:5" ht="111" customHeight="1" x14ac:dyDescent="0.3">
      <c r="A34" s="18" t="s">
        <v>279</v>
      </c>
      <c r="B34" s="19" t="s">
        <v>4</v>
      </c>
      <c r="C34" s="4">
        <v>600</v>
      </c>
      <c r="D34" s="41">
        <v>30000</v>
      </c>
    </row>
    <row r="35" spans="1:5" ht="318.75" x14ac:dyDescent="0.3">
      <c r="A35" s="32" t="s">
        <v>456</v>
      </c>
      <c r="B35" s="19" t="s">
        <v>5</v>
      </c>
      <c r="C35" s="4">
        <v>100</v>
      </c>
      <c r="D35" s="41">
        <f>4052928+183718</f>
        <v>4236646</v>
      </c>
    </row>
    <row r="36" spans="1:5" ht="262.5" x14ac:dyDescent="0.3">
      <c r="A36" s="32" t="s">
        <v>457</v>
      </c>
      <c r="B36" s="19" t="s">
        <v>5</v>
      </c>
      <c r="C36" s="4">
        <v>200</v>
      </c>
      <c r="D36" s="41">
        <v>17490</v>
      </c>
      <c r="E36" s="60"/>
    </row>
    <row r="37" spans="1:5" ht="265.5" customHeight="1" x14ac:dyDescent="0.3">
      <c r="A37" s="32" t="s">
        <v>458</v>
      </c>
      <c r="B37" s="19" t="s">
        <v>5</v>
      </c>
      <c r="C37" s="4">
        <v>600</v>
      </c>
      <c r="D37" s="41">
        <f>32016778+1442297</f>
        <v>33459075</v>
      </c>
    </row>
    <row r="38" spans="1:5" s="3" customFormat="1" ht="57" customHeight="1" x14ac:dyDescent="0.3">
      <c r="A38" s="16" t="s">
        <v>6</v>
      </c>
      <c r="B38" s="17" t="s">
        <v>200</v>
      </c>
      <c r="C38" s="5"/>
      <c r="D38" s="50">
        <f>SUM(D39:D40)</f>
        <v>572500</v>
      </c>
    </row>
    <row r="39" spans="1:5" ht="109.5" customHeight="1" x14ac:dyDescent="0.3">
      <c r="A39" s="18" t="s">
        <v>182</v>
      </c>
      <c r="B39" s="19" t="s">
        <v>7</v>
      </c>
      <c r="C39" s="4">
        <v>200</v>
      </c>
      <c r="D39" s="41">
        <f>147500-18400</f>
        <v>129100</v>
      </c>
    </row>
    <row r="40" spans="1:5" ht="106.5" customHeight="1" x14ac:dyDescent="0.3">
      <c r="A40" s="18" t="s">
        <v>173</v>
      </c>
      <c r="B40" s="19" t="s">
        <v>7</v>
      </c>
      <c r="C40" s="4">
        <v>600</v>
      </c>
      <c r="D40" s="41">
        <f>425000+18400</f>
        <v>443400</v>
      </c>
    </row>
    <row r="41" spans="1:5" s="3" customFormat="1" ht="68.25" customHeight="1" x14ac:dyDescent="0.3">
      <c r="A41" s="16" t="s">
        <v>217</v>
      </c>
      <c r="B41" s="17" t="s">
        <v>8</v>
      </c>
      <c r="C41" s="5"/>
      <c r="D41" s="50">
        <f>SUM(D42:D45)</f>
        <v>2042671.97</v>
      </c>
    </row>
    <row r="42" spans="1:5" s="3" customFormat="1" ht="156.75" customHeight="1" x14ac:dyDescent="0.3">
      <c r="A42" s="18" t="s">
        <v>515</v>
      </c>
      <c r="B42" s="19" t="s">
        <v>514</v>
      </c>
      <c r="C42" s="4">
        <v>200</v>
      </c>
      <c r="D42" s="41">
        <v>34714</v>
      </c>
    </row>
    <row r="43" spans="1:5" ht="225" x14ac:dyDescent="0.3">
      <c r="A43" s="32" t="s">
        <v>201</v>
      </c>
      <c r="B43" s="19" t="s">
        <v>9</v>
      </c>
      <c r="C43" s="4">
        <v>200</v>
      </c>
      <c r="D43" s="41">
        <v>40201</v>
      </c>
    </row>
    <row r="44" spans="1:5" ht="225" x14ac:dyDescent="0.3">
      <c r="A44" s="32" t="s">
        <v>202</v>
      </c>
      <c r="B44" s="19" t="s">
        <v>9</v>
      </c>
      <c r="C44" s="4">
        <v>600</v>
      </c>
      <c r="D44" s="41">
        <v>886192</v>
      </c>
    </row>
    <row r="45" spans="1:5" ht="169.5" customHeight="1" x14ac:dyDescent="0.3">
      <c r="A45" s="32" t="s">
        <v>218</v>
      </c>
      <c r="B45" s="19" t="s">
        <v>10</v>
      </c>
      <c r="C45" s="4">
        <v>300</v>
      </c>
      <c r="D45" s="41">
        <v>1081564.97</v>
      </c>
    </row>
    <row r="46" spans="1:5" s="8" customFormat="1" ht="105.75" customHeight="1" x14ac:dyDescent="0.3">
      <c r="A46" s="14" t="s">
        <v>219</v>
      </c>
      <c r="B46" s="15" t="s">
        <v>11</v>
      </c>
      <c r="C46" s="7"/>
      <c r="D46" s="58">
        <f>D47+D55+D61</f>
        <v>108947223.27000001</v>
      </c>
    </row>
    <row r="47" spans="1:5" s="3" customFormat="1" ht="48" customHeight="1" x14ac:dyDescent="0.3">
      <c r="A47" s="16" t="s">
        <v>220</v>
      </c>
      <c r="B47" s="17" t="s">
        <v>12</v>
      </c>
      <c r="C47" s="5"/>
      <c r="D47" s="50">
        <f>SUM(D48:D54)</f>
        <v>102215488.2</v>
      </c>
    </row>
    <row r="48" spans="1:5" ht="187.5" x14ac:dyDescent="0.3">
      <c r="A48" s="18" t="s">
        <v>221</v>
      </c>
      <c r="B48" s="19" t="s">
        <v>13</v>
      </c>
      <c r="C48" s="4">
        <v>100</v>
      </c>
      <c r="D48" s="41">
        <f>3657708.13+1104418.41-544231.54+1810</f>
        <v>4219705</v>
      </c>
    </row>
    <row r="49" spans="1:5" ht="145.5" customHeight="1" x14ac:dyDescent="0.3">
      <c r="A49" s="18" t="s">
        <v>222</v>
      </c>
      <c r="B49" s="19" t="s">
        <v>13</v>
      </c>
      <c r="C49" s="4">
        <v>200</v>
      </c>
      <c r="D49" s="41">
        <f>10068738+786331.54+142105-2603.3+40530-1810+50000+28000+1652466+666.45+192079-2050</f>
        <v>12954452.689999998</v>
      </c>
    </row>
    <row r="50" spans="1:5" ht="150" x14ac:dyDescent="0.3">
      <c r="A50" s="18" t="s">
        <v>174</v>
      </c>
      <c r="B50" s="19" t="s">
        <v>13</v>
      </c>
      <c r="C50" s="4">
        <v>600</v>
      </c>
      <c r="D50" s="41">
        <f>8000605.48+1194000+10000+51413.73+215990+145000</f>
        <v>9617009.2100000009</v>
      </c>
    </row>
    <row r="51" spans="1:5" ht="123" customHeight="1" x14ac:dyDescent="0.3">
      <c r="A51" s="18" t="s">
        <v>223</v>
      </c>
      <c r="B51" s="19" t="s">
        <v>13</v>
      </c>
      <c r="C51" s="4">
        <v>800</v>
      </c>
      <c r="D51" s="41">
        <f>486500+101000-242100+2603.3+2050</f>
        <v>350053.3</v>
      </c>
    </row>
    <row r="52" spans="1:5" ht="322.5" customHeight="1" x14ac:dyDescent="0.3">
      <c r="A52" s="32" t="s">
        <v>459</v>
      </c>
      <c r="B52" s="19" t="s">
        <v>14</v>
      </c>
      <c r="C52" s="4">
        <v>100</v>
      </c>
      <c r="D52" s="41">
        <f>35654747+768136</f>
        <v>36422883</v>
      </c>
    </row>
    <row r="53" spans="1:5" ht="261" customHeight="1" x14ac:dyDescent="0.3">
      <c r="A53" s="32" t="s">
        <v>461</v>
      </c>
      <c r="B53" s="19" t="s">
        <v>14</v>
      </c>
      <c r="C53" s="4">
        <v>200</v>
      </c>
      <c r="D53" s="41">
        <v>707970</v>
      </c>
      <c r="E53" s="60"/>
    </row>
    <row r="54" spans="1:5" ht="260.25" customHeight="1" x14ac:dyDescent="0.3">
      <c r="A54" s="32" t="s">
        <v>460</v>
      </c>
      <c r="B54" s="19" t="s">
        <v>14</v>
      </c>
      <c r="C54" s="4">
        <v>600</v>
      </c>
      <c r="D54" s="41">
        <f>37294292+649123</f>
        <v>37943415</v>
      </c>
    </row>
    <row r="55" spans="1:5" s="3" customFormat="1" ht="53.25" customHeight="1" x14ac:dyDescent="0.3">
      <c r="A55" s="16" t="s">
        <v>452</v>
      </c>
      <c r="B55" s="17" t="s">
        <v>15</v>
      </c>
      <c r="C55" s="5"/>
      <c r="D55" s="50">
        <f>SUM(D56:D60)</f>
        <v>3862779.92</v>
      </c>
    </row>
    <row r="56" spans="1:5" ht="93.75" x14ac:dyDescent="0.3">
      <c r="A56" s="18" t="s">
        <v>175</v>
      </c>
      <c r="B56" s="19" t="s">
        <v>16</v>
      </c>
      <c r="C56" s="4">
        <v>600</v>
      </c>
      <c r="D56" s="41">
        <v>2266892.75</v>
      </c>
    </row>
    <row r="57" spans="1:5" ht="105.75" customHeight="1" x14ac:dyDescent="0.3">
      <c r="A57" s="18" t="s">
        <v>183</v>
      </c>
      <c r="B57" s="19" t="s">
        <v>17</v>
      </c>
      <c r="C57" s="4">
        <v>200</v>
      </c>
      <c r="D57" s="41">
        <f>527500-56600</f>
        <v>470900</v>
      </c>
    </row>
    <row r="58" spans="1:5" ht="102.75" customHeight="1" x14ac:dyDescent="0.3">
      <c r="A58" s="18" t="s">
        <v>176</v>
      </c>
      <c r="B58" s="19" t="s">
        <v>17</v>
      </c>
      <c r="C58" s="4">
        <v>600</v>
      </c>
      <c r="D58" s="41">
        <f>400000+56600-151600</f>
        <v>305000</v>
      </c>
    </row>
    <row r="59" spans="1:5" ht="109.5" customHeight="1" x14ac:dyDescent="0.3">
      <c r="A59" s="21" t="s">
        <v>453</v>
      </c>
      <c r="B59" s="19" t="s">
        <v>449</v>
      </c>
      <c r="C59" s="4">
        <v>200</v>
      </c>
      <c r="D59" s="41">
        <f>291137+38663</f>
        <v>329800</v>
      </c>
    </row>
    <row r="60" spans="1:5" ht="109.5" customHeight="1" x14ac:dyDescent="0.3">
      <c r="A60" s="21" t="s">
        <v>454</v>
      </c>
      <c r="B60" s="19" t="s">
        <v>449</v>
      </c>
      <c r="C60" s="4">
        <v>600</v>
      </c>
      <c r="D60" s="41">
        <f>441850.17+48337</f>
        <v>490187.17</v>
      </c>
    </row>
    <row r="61" spans="1:5" ht="70.5" customHeight="1" x14ac:dyDescent="0.3">
      <c r="A61" s="61" t="s">
        <v>553</v>
      </c>
      <c r="B61" s="49" t="s">
        <v>554</v>
      </c>
      <c r="C61" s="4"/>
      <c r="D61" s="50">
        <f>SUM(D62:D68)</f>
        <v>2868955.1500000004</v>
      </c>
    </row>
    <row r="62" spans="1:5" ht="175.5" customHeight="1" x14ac:dyDescent="0.3">
      <c r="A62" s="21" t="s">
        <v>555</v>
      </c>
      <c r="B62" s="62" t="s">
        <v>556</v>
      </c>
      <c r="C62" s="4">
        <v>200</v>
      </c>
      <c r="D62" s="41">
        <v>40000</v>
      </c>
    </row>
    <row r="63" spans="1:5" ht="143.25" customHeight="1" x14ac:dyDescent="0.3">
      <c r="A63" s="21" t="s">
        <v>568</v>
      </c>
      <c r="B63" s="62" t="s">
        <v>567</v>
      </c>
      <c r="C63" s="4">
        <v>200</v>
      </c>
      <c r="D63" s="41">
        <v>110000</v>
      </c>
    </row>
    <row r="64" spans="1:5" ht="178.5" customHeight="1" x14ac:dyDescent="0.3">
      <c r="A64" s="21" t="s">
        <v>585</v>
      </c>
      <c r="B64" s="55" t="s">
        <v>594</v>
      </c>
      <c r="C64" s="4">
        <v>200</v>
      </c>
      <c r="D64" s="41">
        <v>74550</v>
      </c>
    </row>
    <row r="65" spans="1:4" ht="147.75" customHeight="1" x14ac:dyDescent="0.3">
      <c r="A65" s="21" t="s">
        <v>586</v>
      </c>
      <c r="B65" s="55" t="s">
        <v>595</v>
      </c>
      <c r="C65" s="4">
        <v>200</v>
      </c>
      <c r="D65" s="41">
        <v>60000</v>
      </c>
    </row>
    <row r="66" spans="1:4" ht="106.5" customHeight="1" x14ac:dyDescent="0.3">
      <c r="A66" s="32" t="s">
        <v>543</v>
      </c>
      <c r="B66" s="33" t="s">
        <v>564</v>
      </c>
      <c r="C66" s="11">
        <v>200</v>
      </c>
      <c r="D66" s="41">
        <v>644500</v>
      </c>
    </row>
    <row r="67" spans="1:4" ht="110.25" customHeight="1" x14ac:dyDescent="0.3">
      <c r="A67" s="32" t="s">
        <v>540</v>
      </c>
      <c r="B67" s="33" t="s">
        <v>565</v>
      </c>
      <c r="C67" s="11">
        <v>200</v>
      </c>
      <c r="D67" s="41">
        <v>6550</v>
      </c>
    </row>
    <row r="68" spans="1:4" ht="111" customHeight="1" x14ac:dyDescent="0.3">
      <c r="A68" s="32" t="s">
        <v>508</v>
      </c>
      <c r="B68" s="33" t="s">
        <v>566</v>
      </c>
      <c r="C68" s="11">
        <v>200</v>
      </c>
      <c r="D68" s="41">
        <f>1934021.6-666.45</f>
        <v>1933355.1500000001</v>
      </c>
    </row>
    <row r="69" spans="1:4" ht="46.5" customHeight="1" x14ac:dyDescent="0.3">
      <c r="A69" s="14" t="s">
        <v>19</v>
      </c>
      <c r="B69" s="15" t="s">
        <v>18</v>
      </c>
      <c r="C69" s="7"/>
      <c r="D69" s="58">
        <f>D70+D74</f>
        <v>11093319.640000001</v>
      </c>
    </row>
    <row r="70" spans="1:4" ht="54" customHeight="1" x14ac:dyDescent="0.3">
      <c r="A70" s="16" t="s">
        <v>21</v>
      </c>
      <c r="B70" s="17" t="s">
        <v>20</v>
      </c>
      <c r="C70" s="5"/>
      <c r="D70" s="50">
        <f>SUM(D71:D73)</f>
        <v>10941719.640000001</v>
      </c>
    </row>
    <row r="71" spans="1:4" ht="89.25" customHeight="1" x14ac:dyDescent="0.3">
      <c r="A71" s="18" t="s">
        <v>177</v>
      </c>
      <c r="B71" s="19" t="s">
        <v>22</v>
      </c>
      <c r="C71" s="4">
        <v>600</v>
      </c>
      <c r="D71" s="41">
        <f>7389054.99+135220+63000</f>
        <v>7587274.9900000002</v>
      </c>
    </row>
    <row r="72" spans="1:4" ht="165.75" customHeight="1" x14ac:dyDescent="0.3">
      <c r="A72" s="32" t="s">
        <v>541</v>
      </c>
      <c r="B72" s="33" t="s">
        <v>538</v>
      </c>
      <c r="C72" s="11">
        <v>600</v>
      </c>
      <c r="D72" s="41">
        <f>221621.88+29065.1</f>
        <v>250686.98</v>
      </c>
    </row>
    <row r="73" spans="1:4" ht="163.5" customHeight="1" x14ac:dyDescent="0.3">
      <c r="A73" s="32" t="s">
        <v>541</v>
      </c>
      <c r="B73" s="33" t="s">
        <v>537</v>
      </c>
      <c r="C73" s="4">
        <v>600</v>
      </c>
      <c r="D73" s="41">
        <f>2466020.67-135220+772657+300</f>
        <v>3103757.67</v>
      </c>
    </row>
    <row r="74" spans="1:4" ht="37.5" x14ac:dyDescent="0.3">
      <c r="A74" s="16" t="s">
        <v>523</v>
      </c>
      <c r="B74" s="17" t="s">
        <v>524</v>
      </c>
      <c r="C74" s="5"/>
      <c r="D74" s="50">
        <f>D75</f>
        <v>151600</v>
      </c>
    </row>
    <row r="75" spans="1:4" ht="112.5" x14ac:dyDescent="0.3">
      <c r="A75" s="32" t="s">
        <v>528</v>
      </c>
      <c r="B75" s="19" t="s">
        <v>525</v>
      </c>
      <c r="C75" s="4">
        <v>600</v>
      </c>
      <c r="D75" s="41">
        <v>151600</v>
      </c>
    </row>
    <row r="76" spans="1:4" s="8" customFormat="1" ht="48" customHeight="1" x14ac:dyDescent="0.3">
      <c r="A76" s="14" t="s">
        <v>24</v>
      </c>
      <c r="B76" s="15" t="s">
        <v>23</v>
      </c>
      <c r="C76" s="7"/>
      <c r="D76" s="58">
        <f>D77+D83</f>
        <v>756400</v>
      </c>
    </row>
    <row r="77" spans="1:4" s="3" customFormat="1" ht="51.75" customHeight="1" x14ac:dyDescent="0.3">
      <c r="A77" s="16" t="s">
        <v>208</v>
      </c>
      <c r="B77" s="17" t="s">
        <v>25</v>
      </c>
      <c r="C77" s="5"/>
      <c r="D77" s="50">
        <f>SUM(D78:D82)</f>
        <v>710200</v>
      </c>
    </row>
    <row r="78" spans="1:4" ht="94.5" customHeight="1" x14ac:dyDescent="0.3">
      <c r="A78" s="18" t="s">
        <v>224</v>
      </c>
      <c r="B78" s="19" t="s">
        <v>27</v>
      </c>
      <c r="C78" s="4">
        <v>200</v>
      </c>
      <c r="D78" s="41">
        <v>22100</v>
      </c>
    </row>
    <row r="79" spans="1:4" ht="99.75" customHeight="1" x14ac:dyDescent="0.3">
      <c r="A79" s="18" t="s">
        <v>587</v>
      </c>
      <c r="B79" s="19" t="s">
        <v>26</v>
      </c>
      <c r="C79" s="4">
        <v>200</v>
      </c>
      <c r="D79" s="41">
        <f>29750+23100</f>
        <v>52850</v>
      </c>
    </row>
    <row r="80" spans="1:4" ht="103.5" customHeight="1" x14ac:dyDescent="0.3">
      <c r="A80" s="18" t="s">
        <v>455</v>
      </c>
      <c r="B80" s="19" t="s">
        <v>26</v>
      </c>
      <c r="C80" s="4">
        <v>600</v>
      </c>
      <c r="D80" s="41">
        <f>203000-29750-23100</f>
        <v>150150</v>
      </c>
    </row>
    <row r="81" spans="1:4" s="8" customFormat="1" ht="112.5" x14ac:dyDescent="0.3">
      <c r="A81" s="32" t="s">
        <v>225</v>
      </c>
      <c r="B81" s="19" t="s">
        <v>28</v>
      </c>
      <c r="C81" s="4">
        <v>200</v>
      </c>
      <c r="D81" s="41">
        <f>194040-49130-4000</f>
        <v>140910</v>
      </c>
    </row>
    <row r="82" spans="1:4" s="3" customFormat="1" ht="112.5" x14ac:dyDescent="0.3">
      <c r="A82" s="32" t="s">
        <v>226</v>
      </c>
      <c r="B82" s="19" t="s">
        <v>28</v>
      </c>
      <c r="C82" s="4">
        <v>600</v>
      </c>
      <c r="D82" s="41">
        <f>291060+49130+4000</f>
        <v>344190</v>
      </c>
    </row>
    <row r="83" spans="1:4" ht="50.25" customHeight="1" x14ac:dyDescent="0.3">
      <c r="A83" s="16" t="s">
        <v>203</v>
      </c>
      <c r="B83" s="17" t="s">
        <v>29</v>
      </c>
      <c r="C83" s="5"/>
      <c r="D83" s="50">
        <f>D84</f>
        <v>46200</v>
      </c>
    </row>
    <row r="84" spans="1:4" ht="131.25" x14ac:dyDescent="0.3">
      <c r="A84" s="32" t="s">
        <v>204</v>
      </c>
      <c r="B84" s="19" t="s">
        <v>30</v>
      </c>
      <c r="C84" s="4">
        <v>200</v>
      </c>
      <c r="D84" s="41">
        <v>46200</v>
      </c>
    </row>
    <row r="85" spans="1:4" ht="31.5" customHeight="1" x14ac:dyDescent="0.3">
      <c r="A85" s="14" t="s">
        <v>227</v>
      </c>
      <c r="B85" s="15" t="s">
        <v>31</v>
      </c>
      <c r="C85" s="7"/>
      <c r="D85" s="58">
        <f>D86</f>
        <v>345000</v>
      </c>
    </row>
    <row r="86" spans="1:4" ht="45" customHeight="1" x14ac:dyDescent="0.3">
      <c r="A86" s="16" t="s">
        <v>228</v>
      </c>
      <c r="B86" s="17" t="s">
        <v>32</v>
      </c>
      <c r="C86" s="5"/>
      <c r="D86" s="50">
        <f>SUM(D87:D91)</f>
        <v>345000</v>
      </c>
    </row>
    <row r="87" spans="1:4" s="3" customFormat="1" ht="146.25" customHeight="1" x14ac:dyDescent="0.3">
      <c r="A87" s="18" t="s">
        <v>229</v>
      </c>
      <c r="B87" s="19" t="s">
        <v>33</v>
      </c>
      <c r="C87" s="4">
        <v>200</v>
      </c>
      <c r="D87" s="41">
        <f>20000+35000</f>
        <v>55000</v>
      </c>
    </row>
    <row r="88" spans="1:4" ht="146.25" customHeight="1" x14ac:dyDescent="0.3">
      <c r="A88" s="18" t="s">
        <v>230</v>
      </c>
      <c r="B88" s="19" t="s">
        <v>33</v>
      </c>
      <c r="C88" s="4">
        <v>600</v>
      </c>
      <c r="D88" s="41">
        <f>75000+5000-10000</f>
        <v>70000</v>
      </c>
    </row>
    <row r="89" spans="1:4" s="8" customFormat="1" ht="124.5" customHeight="1" x14ac:dyDescent="0.3">
      <c r="A89" s="32" t="s">
        <v>231</v>
      </c>
      <c r="B89" s="33" t="s">
        <v>34</v>
      </c>
      <c r="C89" s="11">
        <v>200</v>
      </c>
      <c r="D89" s="41">
        <f>8000+30000</f>
        <v>38000</v>
      </c>
    </row>
    <row r="90" spans="1:4" s="8" customFormat="1" ht="124.5" customHeight="1" x14ac:dyDescent="0.3">
      <c r="A90" s="32" t="s">
        <v>435</v>
      </c>
      <c r="B90" s="33" t="s">
        <v>34</v>
      </c>
      <c r="C90" s="11">
        <v>600</v>
      </c>
      <c r="D90" s="41">
        <f>22000+100000+50000</f>
        <v>172000</v>
      </c>
    </row>
    <row r="91" spans="1:4" s="8" customFormat="1" ht="87.75" customHeight="1" x14ac:dyDescent="0.3">
      <c r="A91" s="32" t="s">
        <v>589</v>
      </c>
      <c r="B91" s="65" t="s">
        <v>588</v>
      </c>
      <c r="C91" s="11">
        <v>600</v>
      </c>
      <c r="D91" s="41">
        <v>10000</v>
      </c>
    </row>
    <row r="92" spans="1:4" s="3" customFormat="1" ht="49.5" customHeight="1" x14ac:dyDescent="0.3">
      <c r="A92" s="22" t="s">
        <v>36</v>
      </c>
      <c r="B92" s="15" t="s">
        <v>35</v>
      </c>
      <c r="C92" s="7"/>
      <c r="D92" s="58">
        <f>D93</f>
        <v>50000</v>
      </c>
    </row>
    <row r="93" spans="1:4" ht="53.25" customHeight="1" x14ac:dyDescent="0.3">
      <c r="A93" s="16" t="s">
        <v>38</v>
      </c>
      <c r="B93" s="17" t="s">
        <v>37</v>
      </c>
      <c r="C93" s="5"/>
      <c r="D93" s="50">
        <f>SUM(D94:D95)</f>
        <v>50000</v>
      </c>
    </row>
    <row r="94" spans="1:4" ht="144" customHeight="1" x14ac:dyDescent="0.3">
      <c r="A94" s="18" t="s">
        <v>184</v>
      </c>
      <c r="B94" s="19" t="s">
        <v>39</v>
      </c>
      <c r="C94" s="4">
        <v>200</v>
      </c>
      <c r="D94" s="41">
        <v>30000</v>
      </c>
    </row>
    <row r="95" spans="1:4" ht="144" customHeight="1" x14ac:dyDescent="0.3">
      <c r="A95" s="18" t="s">
        <v>179</v>
      </c>
      <c r="B95" s="19" t="s">
        <v>39</v>
      </c>
      <c r="C95" s="4">
        <v>600</v>
      </c>
      <c r="D95" s="41">
        <v>20000</v>
      </c>
    </row>
    <row r="96" spans="1:4" ht="84.75" customHeight="1" x14ac:dyDescent="0.3">
      <c r="A96" s="14" t="s">
        <v>232</v>
      </c>
      <c r="B96" s="15" t="s">
        <v>40</v>
      </c>
      <c r="C96" s="7"/>
      <c r="D96" s="58">
        <f>D97</f>
        <v>7560103.1600000001</v>
      </c>
    </row>
    <row r="97" spans="1:4" s="8" customFormat="1" ht="82.5" customHeight="1" x14ac:dyDescent="0.3">
      <c r="A97" s="16" t="s">
        <v>448</v>
      </c>
      <c r="B97" s="17" t="s">
        <v>41</v>
      </c>
      <c r="C97" s="5"/>
      <c r="D97" s="50">
        <f>SUM(D98:D100)</f>
        <v>7560103.1600000001</v>
      </c>
    </row>
    <row r="98" spans="1:4" s="3" customFormat="1" ht="131.25" x14ac:dyDescent="0.3">
      <c r="A98" s="18" t="s">
        <v>166</v>
      </c>
      <c r="B98" s="19" t="s">
        <v>42</v>
      </c>
      <c r="C98" s="4">
        <v>100</v>
      </c>
      <c r="D98" s="41">
        <f>2621783.53+1500+791432.82+1389174.5+88651.66+936660.65+197000</f>
        <v>6026203.1600000001</v>
      </c>
    </row>
    <row r="99" spans="1:4" ht="83.25" customHeight="1" x14ac:dyDescent="0.3">
      <c r="A99" s="18" t="s">
        <v>233</v>
      </c>
      <c r="B99" s="19" t="s">
        <v>42</v>
      </c>
      <c r="C99" s="4">
        <v>200</v>
      </c>
      <c r="D99" s="41">
        <f>719218+631182+125900</f>
        <v>1476300</v>
      </c>
    </row>
    <row r="100" spans="1:4" ht="56.25" x14ac:dyDescent="0.3">
      <c r="A100" s="18" t="s">
        <v>234</v>
      </c>
      <c r="B100" s="19" t="s">
        <v>42</v>
      </c>
      <c r="C100" s="4">
        <v>800</v>
      </c>
      <c r="D100" s="41">
        <f>11500+46100</f>
        <v>57600</v>
      </c>
    </row>
    <row r="101" spans="1:4" ht="93.75" x14ac:dyDescent="0.3">
      <c r="A101" s="45" t="s">
        <v>462</v>
      </c>
      <c r="B101" s="53" t="s">
        <v>463</v>
      </c>
      <c r="C101" s="7"/>
      <c r="D101" s="58">
        <f>D102</f>
        <v>157480</v>
      </c>
    </row>
    <row r="102" spans="1:4" ht="37.5" x14ac:dyDescent="0.3">
      <c r="A102" s="54" t="s">
        <v>464</v>
      </c>
      <c r="B102" s="49" t="s">
        <v>465</v>
      </c>
      <c r="C102" s="5"/>
      <c r="D102" s="50">
        <f>D103+D104</f>
        <v>157480</v>
      </c>
    </row>
    <row r="103" spans="1:4" ht="112.5" x14ac:dyDescent="0.3">
      <c r="A103" s="32" t="s">
        <v>584</v>
      </c>
      <c r="B103" s="33" t="s">
        <v>590</v>
      </c>
      <c r="C103" s="11">
        <v>600</v>
      </c>
      <c r="D103" s="41">
        <v>78000</v>
      </c>
    </row>
    <row r="104" spans="1:4" ht="112.5" x14ac:dyDescent="0.3">
      <c r="A104" s="32" t="s">
        <v>584</v>
      </c>
      <c r="B104" s="33" t="s">
        <v>583</v>
      </c>
      <c r="C104" s="11">
        <v>600</v>
      </c>
      <c r="D104" s="41">
        <v>79480</v>
      </c>
    </row>
    <row r="105" spans="1:4" s="8" customFormat="1" ht="110.25" customHeight="1" x14ac:dyDescent="0.3">
      <c r="A105" s="45" t="s">
        <v>428</v>
      </c>
      <c r="B105" s="15" t="s">
        <v>43</v>
      </c>
      <c r="C105" s="7"/>
      <c r="D105" s="58">
        <f>D106+D112+D118+D121+D124+D127+D144+D152+D156</f>
        <v>15953054.829999998</v>
      </c>
    </row>
    <row r="106" spans="1:4" s="3" customFormat="1" ht="53.25" customHeight="1" x14ac:dyDescent="0.3">
      <c r="A106" s="14" t="s">
        <v>235</v>
      </c>
      <c r="B106" s="15" t="s">
        <v>44</v>
      </c>
      <c r="C106" s="7"/>
      <c r="D106" s="58">
        <f>D107</f>
        <v>4595035.99</v>
      </c>
    </row>
    <row r="107" spans="1:4" s="8" customFormat="1" ht="105.75" customHeight="1" x14ac:dyDescent="0.3">
      <c r="A107" s="23" t="s">
        <v>280</v>
      </c>
      <c r="B107" s="24" t="s">
        <v>281</v>
      </c>
      <c r="C107" s="34"/>
      <c r="D107" s="50">
        <f>SUM(D108:D111)</f>
        <v>4595035.99</v>
      </c>
    </row>
    <row r="108" spans="1:4" s="8" customFormat="1" ht="84" customHeight="1" x14ac:dyDescent="0.3">
      <c r="A108" s="32" t="s">
        <v>444</v>
      </c>
      <c r="B108" s="33" t="s">
        <v>436</v>
      </c>
      <c r="C108" s="11">
        <v>200</v>
      </c>
      <c r="D108" s="41">
        <f>2941065.73+150000</f>
        <v>3091065.73</v>
      </c>
    </row>
    <row r="109" spans="1:4" s="3" customFormat="1" ht="93.75" customHeight="1" x14ac:dyDescent="0.3">
      <c r="A109" s="32" t="s">
        <v>437</v>
      </c>
      <c r="B109" s="33" t="s">
        <v>438</v>
      </c>
      <c r="C109" s="11">
        <v>200</v>
      </c>
      <c r="D109" s="41">
        <v>1025066.51</v>
      </c>
    </row>
    <row r="110" spans="1:4" s="3" customFormat="1" ht="99.75" customHeight="1" x14ac:dyDescent="0.3">
      <c r="A110" s="44" t="s">
        <v>439</v>
      </c>
      <c r="B110" s="33" t="s">
        <v>440</v>
      </c>
      <c r="C110" s="11">
        <v>200</v>
      </c>
      <c r="D110" s="41">
        <f>150000+287599.83+8.16</f>
        <v>437607.99</v>
      </c>
    </row>
    <row r="111" spans="1:4" s="3" customFormat="1" ht="99.75" customHeight="1" x14ac:dyDescent="0.3">
      <c r="A111" s="44" t="s">
        <v>592</v>
      </c>
      <c r="B111" s="33" t="s">
        <v>591</v>
      </c>
      <c r="C111" s="11">
        <v>200</v>
      </c>
      <c r="D111" s="41">
        <v>41295.760000000002</v>
      </c>
    </row>
    <row r="112" spans="1:4" ht="65.25" customHeight="1" x14ac:dyDescent="0.3">
      <c r="A112" s="14" t="s">
        <v>236</v>
      </c>
      <c r="B112" s="15" t="s">
        <v>45</v>
      </c>
      <c r="C112" s="7"/>
      <c r="D112" s="58">
        <f>D113</f>
        <v>298021</v>
      </c>
    </row>
    <row r="113" spans="1:4" ht="50.25" customHeight="1" x14ac:dyDescent="0.3">
      <c r="A113" s="16" t="s">
        <v>237</v>
      </c>
      <c r="B113" s="17" t="s">
        <v>46</v>
      </c>
      <c r="C113" s="5"/>
      <c r="D113" s="50">
        <f>SUM(D114:D117)</f>
        <v>298021</v>
      </c>
    </row>
    <row r="114" spans="1:4" s="3" customFormat="1" ht="87.75" customHeight="1" x14ac:dyDescent="0.3">
      <c r="A114" s="18" t="s">
        <v>282</v>
      </c>
      <c r="B114" s="19" t="s">
        <v>47</v>
      </c>
      <c r="C114" s="4">
        <v>200</v>
      </c>
      <c r="D114" s="41">
        <v>184021</v>
      </c>
    </row>
    <row r="115" spans="1:4" ht="145.5" customHeight="1" x14ac:dyDescent="0.3">
      <c r="A115" s="32" t="s">
        <v>426</v>
      </c>
      <c r="B115" s="19" t="s">
        <v>48</v>
      </c>
      <c r="C115" s="4">
        <v>200</v>
      </c>
      <c r="D115" s="41">
        <v>60000</v>
      </c>
    </row>
    <row r="116" spans="1:4" ht="143.25" customHeight="1" x14ac:dyDescent="0.3">
      <c r="A116" s="32" t="s">
        <v>427</v>
      </c>
      <c r="B116" s="19" t="s">
        <v>48</v>
      </c>
      <c r="C116" s="4">
        <v>600</v>
      </c>
      <c r="D116" s="41">
        <v>24000</v>
      </c>
    </row>
    <row r="117" spans="1:4" s="8" customFormat="1" ht="87.75" customHeight="1" x14ac:dyDescent="0.3">
      <c r="A117" s="25" t="s">
        <v>283</v>
      </c>
      <c r="B117" s="19" t="s">
        <v>284</v>
      </c>
      <c r="C117" s="4">
        <v>200</v>
      </c>
      <c r="D117" s="41">
        <v>30000</v>
      </c>
    </row>
    <row r="118" spans="1:4" s="3" customFormat="1" ht="147" customHeight="1" x14ac:dyDescent="0.3">
      <c r="A118" s="26" t="s">
        <v>50</v>
      </c>
      <c r="B118" s="15" t="s">
        <v>49</v>
      </c>
      <c r="C118" s="7"/>
      <c r="D118" s="58">
        <f>D119</f>
        <v>1900000</v>
      </c>
    </row>
    <row r="119" spans="1:4" ht="66.75" customHeight="1" x14ac:dyDescent="0.3">
      <c r="A119" s="51" t="s">
        <v>52</v>
      </c>
      <c r="B119" s="17" t="s">
        <v>51</v>
      </c>
      <c r="C119" s="5"/>
      <c r="D119" s="50">
        <f>SUM(D120:D120)</f>
        <v>1900000</v>
      </c>
    </row>
    <row r="120" spans="1:4" ht="131.25" x14ac:dyDescent="0.3">
      <c r="A120" s="21" t="s">
        <v>285</v>
      </c>
      <c r="B120" s="19" t="s">
        <v>53</v>
      </c>
      <c r="C120" s="4">
        <v>800</v>
      </c>
      <c r="D120" s="41">
        <v>1900000</v>
      </c>
    </row>
    <row r="121" spans="1:4" s="8" customFormat="1" ht="49.5" customHeight="1" x14ac:dyDescent="0.3">
      <c r="A121" s="26" t="s">
        <v>243</v>
      </c>
      <c r="B121" s="15" t="s">
        <v>54</v>
      </c>
      <c r="C121" s="7"/>
      <c r="D121" s="58">
        <f t="shared" ref="D121:D122" si="0">D122</f>
        <v>338239.5</v>
      </c>
    </row>
    <row r="122" spans="1:4" s="3" customFormat="1" ht="47.25" customHeight="1" x14ac:dyDescent="0.3">
      <c r="A122" s="23" t="s">
        <v>286</v>
      </c>
      <c r="B122" s="17" t="s">
        <v>55</v>
      </c>
      <c r="C122" s="5"/>
      <c r="D122" s="50">
        <f t="shared" si="0"/>
        <v>338239.5</v>
      </c>
    </row>
    <row r="123" spans="1:4" ht="69" customHeight="1" x14ac:dyDescent="0.3">
      <c r="A123" s="21" t="s">
        <v>287</v>
      </c>
      <c r="B123" s="19" t="s">
        <v>56</v>
      </c>
      <c r="C123" s="4">
        <v>200</v>
      </c>
      <c r="D123" s="41">
        <v>338239.5</v>
      </c>
    </row>
    <row r="124" spans="1:4" s="3" customFormat="1" ht="71.25" customHeight="1" x14ac:dyDescent="0.3">
      <c r="A124" s="14" t="s">
        <v>162</v>
      </c>
      <c r="B124" s="15" t="s">
        <v>57</v>
      </c>
      <c r="C124" s="7"/>
      <c r="D124" s="58">
        <f t="shared" ref="D124:D125" si="1">D125</f>
        <v>700000</v>
      </c>
    </row>
    <row r="125" spans="1:4" ht="69" customHeight="1" x14ac:dyDescent="0.3">
      <c r="A125" s="28" t="s">
        <v>445</v>
      </c>
      <c r="B125" s="17" t="s">
        <v>58</v>
      </c>
      <c r="C125" s="5"/>
      <c r="D125" s="50">
        <f t="shared" si="1"/>
        <v>700000</v>
      </c>
    </row>
    <row r="126" spans="1:4" ht="88.5" customHeight="1" x14ac:dyDescent="0.3">
      <c r="A126" s="18" t="s">
        <v>180</v>
      </c>
      <c r="B126" s="19" t="s">
        <v>59</v>
      </c>
      <c r="C126" s="4">
        <v>800</v>
      </c>
      <c r="D126" s="41">
        <v>700000</v>
      </c>
    </row>
    <row r="127" spans="1:4" s="8" customFormat="1" ht="93.75" x14ac:dyDescent="0.3">
      <c r="A127" s="26" t="s">
        <v>288</v>
      </c>
      <c r="B127" s="15" t="s">
        <v>289</v>
      </c>
      <c r="C127" s="4"/>
      <c r="D127" s="58">
        <f>D128+D133+D139+D129+D141</f>
        <v>3334131.12</v>
      </c>
    </row>
    <row r="128" spans="1:4" s="3" customFormat="1" ht="37.5" hidden="1" x14ac:dyDescent="0.3">
      <c r="A128" s="23" t="s">
        <v>290</v>
      </c>
      <c r="B128" s="17" t="s">
        <v>291</v>
      </c>
      <c r="C128" s="4"/>
      <c r="D128" s="50">
        <v>0</v>
      </c>
    </row>
    <row r="129" spans="1:4" s="3" customFormat="1" ht="37.5" x14ac:dyDescent="0.3">
      <c r="A129" s="23" t="s">
        <v>290</v>
      </c>
      <c r="B129" s="17" t="s">
        <v>291</v>
      </c>
      <c r="C129" s="5"/>
      <c r="D129" s="50">
        <f>SUM(D130:D132)</f>
        <v>265500</v>
      </c>
    </row>
    <row r="130" spans="1:4" s="3" customFormat="1" ht="117.75" customHeight="1" x14ac:dyDescent="0.3">
      <c r="A130" s="57" t="s">
        <v>468</v>
      </c>
      <c r="B130" s="19" t="s">
        <v>467</v>
      </c>
      <c r="C130" s="4">
        <v>200</v>
      </c>
      <c r="D130" s="41">
        <v>110500</v>
      </c>
    </row>
    <row r="131" spans="1:4" s="3" customFormat="1" ht="126.75" customHeight="1" x14ac:dyDescent="0.3">
      <c r="A131" s="21" t="s">
        <v>469</v>
      </c>
      <c r="B131" s="19" t="s">
        <v>466</v>
      </c>
      <c r="C131" s="4">
        <v>200</v>
      </c>
      <c r="D131" s="41">
        <f>155000-99903</f>
        <v>55097</v>
      </c>
    </row>
    <row r="132" spans="1:4" s="3" customFormat="1" ht="126.75" customHeight="1" x14ac:dyDescent="0.3">
      <c r="A132" s="21" t="s">
        <v>600</v>
      </c>
      <c r="B132" s="19" t="s">
        <v>599</v>
      </c>
      <c r="C132" s="4">
        <v>200</v>
      </c>
      <c r="D132" s="41">
        <v>99903</v>
      </c>
    </row>
    <row r="133" spans="1:4" ht="50.25" customHeight="1" x14ac:dyDescent="0.3">
      <c r="A133" s="23" t="s">
        <v>292</v>
      </c>
      <c r="B133" s="24" t="s">
        <v>293</v>
      </c>
      <c r="C133" s="4"/>
      <c r="D133" s="50">
        <f>SUM(D134:D138)</f>
        <v>1347847.67</v>
      </c>
    </row>
    <row r="134" spans="1:4" ht="100.5" customHeight="1" x14ac:dyDescent="0.3">
      <c r="A134" s="44" t="s">
        <v>470</v>
      </c>
      <c r="B134" s="55" t="s">
        <v>471</v>
      </c>
      <c r="C134" s="11">
        <v>500</v>
      </c>
      <c r="D134" s="41">
        <v>593956.68000000005</v>
      </c>
    </row>
    <row r="135" spans="1:4" ht="84.75" customHeight="1" x14ac:dyDescent="0.3">
      <c r="A135" s="21" t="s">
        <v>294</v>
      </c>
      <c r="B135" s="27" t="s">
        <v>295</v>
      </c>
      <c r="C135" s="4">
        <v>200</v>
      </c>
      <c r="D135" s="41">
        <v>134500</v>
      </c>
    </row>
    <row r="136" spans="1:4" ht="81.75" customHeight="1" x14ac:dyDescent="0.3">
      <c r="A136" s="21" t="s">
        <v>473</v>
      </c>
      <c r="B136" s="27" t="s">
        <v>472</v>
      </c>
      <c r="C136" s="4">
        <v>200</v>
      </c>
      <c r="D136" s="41">
        <v>75000</v>
      </c>
    </row>
    <row r="137" spans="1:4" ht="84.75" customHeight="1" x14ac:dyDescent="0.3">
      <c r="A137" s="21" t="s">
        <v>475</v>
      </c>
      <c r="B137" s="27" t="s">
        <v>474</v>
      </c>
      <c r="C137" s="4">
        <v>200</v>
      </c>
      <c r="D137" s="41">
        <v>470043.32</v>
      </c>
    </row>
    <row r="138" spans="1:4" ht="84.75" customHeight="1" x14ac:dyDescent="0.3">
      <c r="A138" s="21" t="s">
        <v>593</v>
      </c>
      <c r="B138" s="33" t="s">
        <v>596</v>
      </c>
      <c r="C138" s="4">
        <v>200</v>
      </c>
      <c r="D138" s="41">
        <v>74347.67</v>
      </c>
    </row>
    <row r="139" spans="1:4" s="8" customFormat="1" ht="64.5" customHeight="1" x14ac:dyDescent="0.3">
      <c r="A139" s="23" t="s">
        <v>410</v>
      </c>
      <c r="B139" s="24" t="s">
        <v>296</v>
      </c>
      <c r="C139" s="4"/>
      <c r="D139" s="50">
        <f>D140</f>
        <v>151979.59999999998</v>
      </c>
    </row>
    <row r="140" spans="1:4" s="3" customFormat="1" ht="108.75" customHeight="1" x14ac:dyDescent="0.3">
      <c r="A140" s="20" t="s">
        <v>411</v>
      </c>
      <c r="B140" s="27" t="s">
        <v>297</v>
      </c>
      <c r="C140" s="4">
        <v>200</v>
      </c>
      <c r="D140" s="41">
        <f>55000+13307.4+83672.2</f>
        <v>151979.59999999998</v>
      </c>
    </row>
    <row r="141" spans="1:4" s="3" customFormat="1" ht="49.5" customHeight="1" x14ac:dyDescent="0.3">
      <c r="A141" s="28" t="s">
        <v>477</v>
      </c>
      <c r="B141" s="24" t="s">
        <v>476</v>
      </c>
      <c r="C141" s="5"/>
      <c r="D141" s="50">
        <f>D142+D143</f>
        <v>1568803.85</v>
      </c>
    </row>
    <row r="142" spans="1:4" s="3" customFormat="1" ht="83.25" customHeight="1" x14ac:dyDescent="0.3">
      <c r="A142" s="20" t="s">
        <v>479</v>
      </c>
      <c r="B142" s="27" t="s">
        <v>478</v>
      </c>
      <c r="C142" s="4">
        <v>200</v>
      </c>
      <c r="D142" s="41">
        <v>1410000</v>
      </c>
    </row>
    <row r="143" spans="1:4" s="3" customFormat="1" ht="99.75" customHeight="1" x14ac:dyDescent="0.3">
      <c r="A143" s="20" t="s">
        <v>580</v>
      </c>
      <c r="B143" s="27" t="s">
        <v>579</v>
      </c>
      <c r="C143" s="4">
        <v>200</v>
      </c>
      <c r="D143" s="41">
        <v>158803.85</v>
      </c>
    </row>
    <row r="144" spans="1:4" s="3" customFormat="1" ht="106.5" customHeight="1" x14ac:dyDescent="0.3">
      <c r="A144" s="26" t="s">
        <v>298</v>
      </c>
      <c r="B144" s="15" t="s">
        <v>299</v>
      </c>
      <c r="C144" s="4"/>
      <c r="D144" s="58">
        <f>D145+D150</f>
        <v>812140.17999999993</v>
      </c>
    </row>
    <row r="145" spans="1:4" ht="110.25" customHeight="1" x14ac:dyDescent="0.3">
      <c r="A145" s="23" t="s">
        <v>300</v>
      </c>
      <c r="B145" s="17" t="s">
        <v>301</v>
      </c>
      <c r="C145" s="4"/>
      <c r="D145" s="50">
        <f>SUM(D146:D149)</f>
        <v>362485.49</v>
      </c>
    </row>
    <row r="146" spans="1:4" s="8" customFormat="1" ht="105" customHeight="1" x14ac:dyDescent="0.3">
      <c r="A146" s="21" t="s">
        <v>302</v>
      </c>
      <c r="B146" s="19" t="s">
        <v>303</v>
      </c>
      <c r="C146" s="4">
        <v>200</v>
      </c>
      <c r="D146" s="41">
        <v>30000</v>
      </c>
    </row>
    <row r="147" spans="1:4" s="8" customFormat="1" ht="159" customHeight="1" x14ac:dyDescent="0.3">
      <c r="A147" s="21" t="s">
        <v>304</v>
      </c>
      <c r="B147" s="19" t="s">
        <v>305</v>
      </c>
      <c r="C147" s="4">
        <v>200</v>
      </c>
      <c r="D147" s="41">
        <v>5000</v>
      </c>
    </row>
    <row r="148" spans="1:4" s="8" customFormat="1" ht="104.25" customHeight="1" x14ac:dyDescent="0.3">
      <c r="A148" s="21" t="s">
        <v>481</v>
      </c>
      <c r="B148" s="19" t="s">
        <v>480</v>
      </c>
      <c r="C148" s="4">
        <v>200</v>
      </c>
      <c r="D148" s="41">
        <v>120000</v>
      </c>
    </row>
    <row r="149" spans="1:4" s="8" customFormat="1" ht="104.25" customHeight="1" x14ac:dyDescent="0.3">
      <c r="A149" s="21" t="s">
        <v>582</v>
      </c>
      <c r="B149" s="19" t="s">
        <v>581</v>
      </c>
      <c r="C149" s="4">
        <v>200</v>
      </c>
      <c r="D149" s="41">
        <v>207485.49</v>
      </c>
    </row>
    <row r="150" spans="1:4" ht="32.25" customHeight="1" x14ac:dyDescent="0.3">
      <c r="A150" s="29" t="s">
        <v>306</v>
      </c>
      <c r="B150" s="24" t="s">
        <v>307</v>
      </c>
      <c r="C150" s="4"/>
      <c r="D150" s="50">
        <f>D151</f>
        <v>449654.69</v>
      </c>
    </row>
    <row r="151" spans="1:4" ht="68.25" customHeight="1" x14ac:dyDescent="0.3">
      <c r="A151" s="21" t="s">
        <v>308</v>
      </c>
      <c r="B151" s="27" t="s">
        <v>309</v>
      </c>
      <c r="C151" s="4">
        <v>800</v>
      </c>
      <c r="D151" s="41">
        <f>469654.69-20000</f>
        <v>449654.69</v>
      </c>
    </row>
    <row r="152" spans="1:4" ht="69" customHeight="1" x14ac:dyDescent="0.3">
      <c r="A152" s="30" t="s">
        <v>310</v>
      </c>
      <c r="B152" s="31" t="s">
        <v>311</v>
      </c>
      <c r="C152" s="4"/>
      <c r="D152" s="58">
        <f>D153</f>
        <v>2962783.04</v>
      </c>
    </row>
    <row r="153" spans="1:4" ht="51.75" customHeight="1" x14ac:dyDescent="0.3">
      <c r="A153" s="23" t="s">
        <v>312</v>
      </c>
      <c r="B153" s="24" t="s">
        <v>313</v>
      </c>
      <c r="C153" s="4"/>
      <c r="D153" s="50">
        <f>SUM(D154:D155)</f>
        <v>2962783.04</v>
      </c>
    </row>
    <row r="154" spans="1:4" s="3" customFormat="1" ht="107.25" customHeight="1" x14ac:dyDescent="0.3">
      <c r="A154" s="44" t="s">
        <v>441</v>
      </c>
      <c r="B154" s="33" t="s">
        <v>314</v>
      </c>
      <c r="C154" s="11">
        <v>200</v>
      </c>
      <c r="D154" s="41">
        <f>1200000+705945.7-158803.85-74347.67</f>
        <v>1672794.18</v>
      </c>
    </row>
    <row r="155" spans="1:4" s="3" customFormat="1" ht="84.75" customHeight="1" x14ac:dyDescent="0.3">
      <c r="A155" s="44" t="s">
        <v>442</v>
      </c>
      <c r="B155" s="33" t="s">
        <v>443</v>
      </c>
      <c r="C155" s="11">
        <v>200</v>
      </c>
      <c r="D155" s="41">
        <f>491000+840284.62-41295.76</f>
        <v>1289988.8600000001</v>
      </c>
    </row>
    <row r="156" spans="1:4" s="3" customFormat="1" ht="81.75" customHeight="1" x14ac:dyDescent="0.3">
      <c r="A156" s="47" t="s">
        <v>608</v>
      </c>
      <c r="B156" s="53" t="s">
        <v>601</v>
      </c>
      <c r="C156" s="56"/>
      <c r="D156" s="58">
        <f>D157</f>
        <v>1012704</v>
      </c>
    </row>
    <row r="157" spans="1:4" s="3" customFormat="1" ht="84" customHeight="1" x14ac:dyDescent="0.3">
      <c r="A157" s="48" t="s">
        <v>607</v>
      </c>
      <c r="B157" s="49" t="s">
        <v>603</v>
      </c>
      <c r="C157" s="11"/>
      <c r="D157" s="41">
        <f>D158</f>
        <v>1012704</v>
      </c>
    </row>
    <row r="158" spans="1:4" s="3" customFormat="1" ht="99.75" customHeight="1" x14ac:dyDescent="0.3">
      <c r="A158" s="44" t="s">
        <v>609</v>
      </c>
      <c r="B158" s="33" t="s">
        <v>602</v>
      </c>
      <c r="C158" s="11">
        <v>400</v>
      </c>
      <c r="D158" s="41">
        <v>1012704</v>
      </c>
    </row>
    <row r="159" spans="1:4" ht="69" customHeight="1" x14ac:dyDescent="0.3">
      <c r="A159" s="14" t="s">
        <v>244</v>
      </c>
      <c r="B159" s="15" t="s">
        <v>60</v>
      </c>
      <c r="C159" s="7"/>
      <c r="D159" s="58">
        <f>D160+D170+D176+D180+D183+D186+D191</f>
        <v>25032308.170000002</v>
      </c>
    </row>
    <row r="160" spans="1:4" ht="46.5" customHeight="1" x14ac:dyDescent="0.3">
      <c r="A160" s="14" t="s">
        <v>245</v>
      </c>
      <c r="B160" s="15" t="s">
        <v>61</v>
      </c>
      <c r="C160" s="7"/>
      <c r="D160" s="58">
        <f>D161+D167</f>
        <v>19331365.210000001</v>
      </c>
    </row>
    <row r="161" spans="1:4" s="8" customFormat="1" ht="47.25" customHeight="1" x14ac:dyDescent="0.3">
      <c r="A161" s="16" t="s">
        <v>63</v>
      </c>
      <c r="B161" s="17" t="s">
        <v>62</v>
      </c>
      <c r="C161" s="5"/>
      <c r="D161" s="50">
        <f>SUM(D162:D166)</f>
        <v>13325759.210000001</v>
      </c>
    </row>
    <row r="162" spans="1:4" s="3" customFormat="1" ht="131.25" x14ac:dyDescent="0.3">
      <c r="A162" s="18" t="s">
        <v>167</v>
      </c>
      <c r="B162" s="19" t="s">
        <v>64</v>
      </c>
      <c r="C162" s="4">
        <v>100</v>
      </c>
      <c r="D162" s="41">
        <f>7535307+375+2275662.71-5000-24900-30000</f>
        <v>9751444.7100000009</v>
      </c>
    </row>
    <row r="163" spans="1:4" ht="87" customHeight="1" x14ac:dyDescent="0.3">
      <c r="A163" s="18" t="s">
        <v>185</v>
      </c>
      <c r="B163" s="19" t="s">
        <v>64</v>
      </c>
      <c r="C163" s="4">
        <v>200</v>
      </c>
      <c r="D163" s="41">
        <f>1942816+5000+24900+142310.41+30000+54525+390000+70000+2092.09</f>
        <v>2661643.5</v>
      </c>
    </row>
    <row r="164" spans="1:4" s="3" customFormat="1" ht="67.5" customHeight="1" x14ac:dyDescent="0.3">
      <c r="A164" s="18" t="s">
        <v>181</v>
      </c>
      <c r="B164" s="19" t="s">
        <v>64</v>
      </c>
      <c r="C164" s="4">
        <v>800</v>
      </c>
      <c r="D164" s="41">
        <f>20000+22000</f>
        <v>42000</v>
      </c>
    </row>
    <row r="165" spans="1:4" ht="148.5" customHeight="1" x14ac:dyDescent="0.3">
      <c r="A165" s="18" t="s">
        <v>168</v>
      </c>
      <c r="B165" s="19" t="s">
        <v>65</v>
      </c>
      <c r="C165" s="4">
        <v>100</v>
      </c>
      <c r="D165" s="41">
        <f>375408+113373</f>
        <v>488781</v>
      </c>
    </row>
    <row r="166" spans="1:4" ht="102.75" customHeight="1" x14ac:dyDescent="0.3">
      <c r="A166" s="18" t="s">
        <v>186</v>
      </c>
      <c r="B166" s="19" t="s">
        <v>65</v>
      </c>
      <c r="C166" s="4">
        <v>200</v>
      </c>
      <c r="D166" s="41">
        <v>381890</v>
      </c>
    </row>
    <row r="167" spans="1:4" s="8" customFormat="1" ht="64.5" customHeight="1" x14ac:dyDescent="0.3">
      <c r="A167" s="16" t="s">
        <v>246</v>
      </c>
      <c r="B167" s="17" t="s">
        <v>66</v>
      </c>
      <c r="C167" s="5"/>
      <c r="D167" s="50">
        <f>SUM(D168:D169)</f>
        <v>6005606</v>
      </c>
    </row>
    <row r="168" spans="1:4" s="8" customFormat="1" ht="182.25" customHeight="1" x14ac:dyDescent="0.3">
      <c r="A168" s="18" t="s">
        <v>512</v>
      </c>
      <c r="B168" s="19" t="s">
        <v>511</v>
      </c>
      <c r="C168" s="4">
        <v>100</v>
      </c>
      <c r="D168" s="41">
        <f>5615861+72810</f>
        <v>5688671</v>
      </c>
    </row>
    <row r="169" spans="1:4" s="3" customFormat="1" ht="187.5" customHeight="1" x14ac:dyDescent="0.3">
      <c r="A169" s="18" t="s">
        <v>315</v>
      </c>
      <c r="B169" s="19" t="s">
        <v>67</v>
      </c>
      <c r="C169" s="4">
        <v>100</v>
      </c>
      <c r="D169" s="41">
        <f>242853+73342+740</f>
        <v>316935</v>
      </c>
    </row>
    <row r="170" spans="1:4" ht="50.25" customHeight="1" x14ac:dyDescent="0.3">
      <c r="A170" s="14" t="s">
        <v>69</v>
      </c>
      <c r="B170" s="15" t="s">
        <v>68</v>
      </c>
      <c r="C170" s="7"/>
      <c r="D170" s="58">
        <f>D171+D173</f>
        <v>4581094.96</v>
      </c>
    </row>
    <row r="171" spans="1:4" s="8" customFormat="1" ht="51.75" customHeight="1" x14ac:dyDescent="0.3">
      <c r="A171" s="16" t="s">
        <v>71</v>
      </c>
      <c r="B171" s="17" t="s">
        <v>70</v>
      </c>
      <c r="C171" s="5"/>
      <c r="D171" s="50">
        <f>D172</f>
        <v>3668235.96</v>
      </c>
    </row>
    <row r="172" spans="1:4" s="3" customFormat="1" ht="84" customHeight="1" x14ac:dyDescent="0.3">
      <c r="A172" s="18" t="s">
        <v>178</v>
      </c>
      <c r="B172" s="19" t="s">
        <v>72</v>
      </c>
      <c r="C172" s="4">
        <v>600</v>
      </c>
      <c r="D172" s="41">
        <f>3544235.96+124000</f>
        <v>3668235.96</v>
      </c>
    </row>
    <row r="173" spans="1:4" ht="69.75" customHeight="1" x14ac:dyDescent="0.3">
      <c r="A173" s="16" t="s">
        <v>74</v>
      </c>
      <c r="B173" s="17" t="s">
        <v>73</v>
      </c>
      <c r="C173" s="5"/>
      <c r="D173" s="50">
        <f>SUM(D174:D175)</f>
        <v>912859</v>
      </c>
    </row>
    <row r="174" spans="1:4" ht="168.75" x14ac:dyDescent="0.3">
      <c r="A174" s="18" t="s">
        <v>510</v>
      </c>
      <c r="B174" s="19" t="s">
        <v>509</v>
      </c>
      <c r="C174" s="4">
        <v>600</v>
      </c>
      <c r="D174" s="41">
        <f>593767+13652</f>
        <v>607419</v>
      </c>
    </row>
    <row r="175" spans="1:4" ht="150" x14ac:dyDescent="0.3">
      <c r="A175" s="18" t="s">
        <v>483</v>
      </c>
      <c r="B175" s="19" t="s">
        <v>482</v>
      </c>
      <c r="C175" s="4">
        <v>600</v>
      </c>
      <c r="D175" s="41">
        <f>305300+140</f>
        <v>305440</v>
      </c>
    </row>
    <row r="176" spans="1:4" ht="48" customHeight="1" x14ac:dyDescent="0.3">
      <c r="A176" s="14" t="s">
        <v>527</v>
      </c>
      <c r="B176" s="15" t="s">
        <v>75</v>
      </c>
      <c r="C176" s="7"/>
      <c r="D176" s="58">
        <f>D177</f>
        <v>228848</v>
      </c>
    </row>
    <row r="177" spans="1:4" s="8" customFormat="1" ht="51.75" customHeight="1" x14ac:dyDescent="0.3">
      <c r="A177" s="16" t="s">
        <v>77</v>
      </c>
      <c r="B177" s="17" t="s">
        <v>76</v>
      </c>
      <c r="C177" s="5"/>
      <c r="D177" s="50">
        <f>SUM(D178:D179)</f>
        <v>228848</v>
      </c>
    </row>
    <row r="178" spans="1:4" s="3" customFormat="1" ht="131.25" x14ac:dyDescent="0.3">
      <c r="A178" s="18" t="s">
        <v>187</v>
      </c>
      <c r="B178" s="19" t="s">
        <v>78</v>
      </c>
      <c r="C178" s="4">
        <v>200</v>
      </c>
      <c r="D178" s="41">
        <v>220000</v>
      </c>
    </row>
    <row r="179" spans="1:4" s="3" customFormat="1" ht="75" x14ac:dyDescent="0.3">
      <c r="A179" s="18" t="s">
        <v>513</v>
      </c>
      <c r="B179" s="19" t="s">
        <v>569</v>
      </c>
      <c r="C179" s="4">
        <v>200</v>
      </c>
      <c r="D179" s="41">
        <v>8848</v>
      </c>
    </row>
    <row r="180" spans="1:4" ht="47.25" customHeight="1" x14ac:dyDescent="0.3">
      <c r="A180" s="14" t="s">
        <v>209</v>
      </c>
      <c r="B180" s="15" t="s">
        <v>79</v>
      </c>
      <c r="C180" s="7"/>
      <c r="D180" s="58">
        <f>D181</f>
        <v>50000</v>
      </c>
    </row>
    <row r="181" spans="1:4" ht="45" customHeight="1" x14ac:dyDescent="0.3">
      <c r="A181" s="16" t="s">
        <v>247</v>
      </c>
      <c r="B181" s="17" t="s">
        <v>80</v>
      </c>
      <c r="C181" s="5"/>
      <c r="D181" s="50">
        <f>SUM(D182:D182)</f>
        <v>50000</v>
      </c>
    </row>
    <row r="182" spans="1:4" ht="87" customHeight="1" x14ac:dyDescent="0.3">
      <c r="A182" s="18" t="s">
        <v>210</v>
      </c>
      <c r="B182" s="19" t="s">
        <v>81</v>
      </c>
      <c r="C182" s="4">
        <v>200</v>
      </c>
      <c r="D182" s="41">
        <v>50000</v>
      </c>
    </row>
    <row r="183" spans="1:4" s="3" customFormat="1" ht="74.25" customHeight="1" x14ac:dyDescent="0.3">
      <c r="A183" s="14" t="s">
        <v>447</v>
      </c>
      <c r="B183" s="15" t="s">
        <v>82</v>
      </c>
      <c r="C183" s="7"/>
      <c r="D183" s="58">
        <f t="shared" ref="D183:D184" si="2">D184</f>
        <v>50000</v>
      </c>
    </row>
    <row r="184" spans="1:4" ht="65.25" customHeight="1" x14ac:dyDescent="0.3">
      <c r="A184" s="16" t="s">
        <v>84</v>
      </c>
      <c r="B184" s="17" t="s">
        <v>83</v>
      </c>
      <c r="C184" s="5"/>
      <c r="D184" s="50">
        <f t="shared" si="2"/>
        <v>50000</v>
      </c>
    </row>
    <row r="185" spans="1:4" s="8" customFormat="1" ht="71.25" customHeight="1" x14ac:dyDescent="0.3">
      <c r="A185" s="18" t="s">
        <v>188</v>
      </c>
      <c r="B185" s="19" t="s">
        <v>85</v>
      </c>
      <c r="C185" s="4">
        <v>200</v>
      </c>
      <c r="D185" s="41">
        <v>50000</v>
      </c>
    </row>
    <row r="186" spans="1:4" s="3" customFormat="1" ht="68.25" customHeight="1" x14ac:dyDescent="0.3">
      <c r="A186" s="14" t="s">
        <v>316</v>
      </c>
      <c r="B186" s="15" t="s">
        <v>86</v>
      </c>
      <c r="C186" s="7"/>
      <c r="D186" s="58">
        <f>D187</f>
        <v>419000</v>
      </c>
    </row>
    <row r="187" spans="1:4" s="3" customFormat="1" ht="45" customHeight="1" x14ac:dyDescent="0.3">
      <c r="A187" s="16" t="s">
        <v>248</v>
      </c>
      <c r="B187" s="17" t="s">
        <v>87</v>
      </c>
      <c r="C187" s="5"/>
      <c r="D187" s="50">
        <f>SUM(D188:D190)</f>
        <v>419000</v>
      </c>
    </row>
    <row r="188" spans="1:4" ht="87" customHeight="1" x14ac:dyDescent="0.3">
      <c r="A188" s="21" t="s">
        <v>317</v>
      </c>
      <c r="B188" s="19" t="s">
        <v>318</v>
      </c>
      <c r="C188" s="4">
        <v>600</v>
      </c>
      <c r="D188" s="41">
        <f>40000+100000</f>
        <v>140000</v>
      </c>
    </row>
    <row r="189" spans="1:4" ht="108.75" customHeight="1" x14ac:dyDescent="0.3">
      <c r="A189" s="44" t="s">
        <v>542</v>
      </c>
      <c r="B189" s="33" t="s">
        <v>539</v>
      </c>
      <c r="C189" s="4">
        <v>200</v>
      </c>
      <c r="D189" s="41">
        <v>269000</v>
      </c>
    </row>
    <row r="190" spans="1:4" ht="112.5" customHeight="1" x14ac:dyDescent="0.3">
      <c r="A190" s="21" t="s">
        <v>485</v>
      </c>
      <c r="B190" s="19" t="s">
        <v>484</v>
      </c>
      <c r="C190" s="4">
        <v>200</v>
      </c>
      <c r="D190" s="41">
        <v>10000</v>
      </c>
    </row>
    <row r="191" spans="1:4" s="3" customFormat="1" ht="73.5" customHeight="1" x14ac:dyDescent="0.3">
      <c r="A191" s="47" t="s">
        <v>536</v>
      </c>
      <c r="B191" s="15" t="s">
        <v>319</v>
      </c>
      <c r="C191" s="11"/>
      <c r="D191" s="58">
        <f>D192+D195+D198</f>
        <v>372000</v>
      </c>
    </row>
    <row r="192" spans="1:4" ht="48" customHeight="1" x14ac:dyDescent="0.3">
      <c r="A192" s="23" t="s">
        <v>320</v>
      </c>
      <c r="B192" s="17" t="s">
        <v>321</v>
      </c>
      <c r="C192" s="11"/>
      <c r="D192" s="50">
        <f>D193+D194</f>
        <v>355000</v>
      </c>
    </row>
    <row r="193" spans="1:4" ht="89.25" customHeight="1" x14ac:dyDescent="0.3">
      <c r="A193" s="21" t="s">
        <v>322</v>
      </c>
      <c r="B193" s="27" t="s">
        <v>323</v>
      </c>
      <c r="C193" s="11">
        <v>200</v>
      </c>
      <c r="D193" s="41">
        <f>165000+15000-15000+65000+110000</f>
        <v>340000</v>
      </c>
    </row>
    <row r="194" spans="1:4" ht="89.25" customHeight="1" x14ac:dyDescent="0.3">
      <c r="A194" s="21" t="s">
        <v>544</v>
      </c>
      <c r="B194" s="27" t="s">
        <v>323</v>
      </c>
      <c r="C194" s="11">
        <v>600</v>
      </c>
      <c r="D194" s="41">
        <v>15000</v>
      </c>
    </row>
    <row r="195" spans="1:4" s="3" customFormat="1" ht="49.5" customHeight="1" x14ac:dyDescent="0.3">
      <c r="A195" s="23" t="s">
        <v>324</v>
      </c>
      <c r="B195" s="24" t="s">
        <v>325</v>
      </c>
      <c r="C195" s="11"/>
      <c r="D195" s="50">
        <f>SUM(D196:D197)</f>
        <v>7000</v>
      </c>
    </row>
    <row r="196" spans="1:4" ht="75" x14ac:dyDescent="0.3">
      <c r="A196" s="21" t="s">
        <v>326</v>
      </c>
      <c r="B196" s="27" t="s">
        <v>327</v>
      </c>
      <c r="C196" s="11">
        <v>600</v>
      </c>
      <c r="D196" s="41">
        <v>4000</v>
      </c>
    </row>
    <row r="197" spans="1:4" ht="75" x14ac:dyDescent="0.3">
      <c r="A197" s="21" t="s">
        <v>328</v>
      </c>
      <c r="B197" s="19" t="s">
        <v>329</v>
      </c>
      <c r="C197" s="11">
        <v>600</v>
      </c>
      <c r="D197" s="41">
        <f>3000+100000-100000</f>
        <v>3000</v>
      </c>
    </row>
    <row r="198" spans="1:4" s="8" customFormat="1" ht="47.25" customHeight="1" x14ac:dyDescent="0.3">
      <c r="A198" s="23" t="s">
        <v>154</v>
      </c>
      <c r="B198" s="17" t="s">
        <v>330</v>
      </c>
      <c r="C198" s="34"/>
      <c r="D198" s="50">
        <f>SUM(D199:D200)</f>
        <v>10000</v>
      </c>
    </row>
    <row r="199" spans="1:4" s="3" customFormat="1" ht="93.75" x14ac:dyDescent="0.3">
      <c r="A199" s="21" t="s">
        <v>331</v>
      </c>
      <c r="B199" s="19" t="s">
        <v>332</v>
      </c>
      <c r="C199" s="11">
        <v>600</v>
      </c>
      <c r="D199" s="41">
        <v>5000</v>
      </c>
    </row>
    <row r="200" spans="1:4" ht="83.25" customHeight="1" x14ac:dyDescent="0.3">
      <c r="A200" s="21" t="s">
        <v>333</v>
      </c>
      <c r="B200" s="19" t="s">
        <v>334</v>
      </c>
      <c r="C200" s="11">
        <v>600</v>
      </c>
      <c r="D200" s="41">
        <v>5000</v>
      </c>
    </row>
    <row r="201" spans="1:4" ht="105.75" customHeight="1" x14ac:dyDescent="0.3">
      <c r="A201" s="14" t="s">
        <v>335</v>
      </c>
      <c r="B201" s="15" t="s">
        <v>88</v>
      </c>
      <c r="C201" s="7"/>
      <c r="D201" s="58">
        <f>D202+D208+D213</f>
        <v>3235666.2199999997</v>
      </c>
    </row>
    <row r="202" spans="1:4" ht="49.5" customHeight="1" x14ac:dyDescent="0.3">
      <c r="A202" s="14" t="s">
        <v>249</v>
      </c>
      <c r="B202" s="15" t="s">
        <v>89</v>
      </c>
      <c r="C202" s="7"/>
      <c r="D202" s="58">
        <f>D203</f>
        <v>304800</v>
      </c>
    </row>
    <row r="203" spans="1:4" s="8" customFormat="1" ht="66.75" customHeight="1" x14ac:dyDescent="0.3">
      <c r="A203" s="23" t="s">
        <v>336</v>
      </c>
      <c r="B203" s="17" t="s">
        <v>337</v>
      </c>
      <c r="C203" s="5"/>
      <c r="D203" s="50">
        <f>SUM(D204:D207)</f>
        <v>304800</v>
      </c>
    </row>
    <row r="204" spans="1:4" s="3" customFormat="1" ht="104.25" customHeight="1" x14ac:dyDescent="0.3">
      <c r="A204" s="18" t="s">
        <v>189</v>
      </c>
      <c r="B204" s="19" t="s">
        <v>338</v>
      </c>
      <c r="C204" s="4">
        <v>200</v>
      </c>
      <c r="D204" s="41">
        <v>18800</v>
      </c>
    </row>
    <row r="205" spans="1:4" ht="105.75" customHeight="1" x14ac:dyDescent="0.3">
      <c r="A205" s="18" t="s">
        <v>190</v>
      </c>
      <c r="B205" s="19" t="s">
        <v>339</v>
      </c>
      <c r="C205" s="4">
        <v>200</v>
      </c>
      <c r="D205" s="41">
        <v>4300</v>
      </c>
    </row>
    <row r="206" spans="1:4" ht="104.25" customHeight="1" x14ac:dyDescent="0.3">
      <c r="A206" s="18" t="s">
        <v>250</v>
      </c>
      <c r="B206" s="19" t="s">
        <v>340</v>
      </c>
      <c r="C206" s="4">
        <v>200</v>
      </c>
      <c r="D206" s="41">
        <f>204800+46900</f>
        <v>251700</v>
      </c>
    </row>
    <row r="207" spans="1:4" ht="89.25" customHeight="1" x14ac:dyDescent="0.3">
      <c r="A207" s="32" t="s">
        <v>558</v>
      </c>
      <c r="B207" s="19" t="s">
        <v>557</v>
      </c>
      <c r="C207" s="4">
        <v>200</v>
      </c>
      <c r="D207" s="41">
        <v>30000</v>
      </c>
    </row>
    <row r="208" spans="1:4" s="8" customFormat="1" ht="56.25" x14ac:dyDescent="0.3">
      <c r="A208" s="14" t="s">
        <v>251</v>
      </c>
      <c r="B208" s="15" t="s">
        <v>90</v>
      </c>
      <c r="C208" s="7"/>
      <c r="D208" s="58">
        <f>D209</f>
        <v>455000</v>
      </c>
    </row>
    <row r="209" spans="1:4" s="3" customFormat="1" ht="66" customHeight="1" x14ac:dyDescent="0.3">
      <c r="A209" s="23" t="s">
        <v>341</v>
      </c>
      <c r="B209" s="17" t="s">
        <v>342</v>
      </c>
      <c r="C209" s="5"/>
      <c r="D209" s="50">
        <f>SUM(D210:D212)</f>
        <v>455000</v>
      </c>
    </row>
    <row r="210" spans="1:4" ht="93.75" x14ac:dyDescent="0.3">
      <c r="A210" s="43" t="s">
        <v>421</v>
      </c>
      <c r="B210" s="33" t="s">
        <v>343</v>
      </c>
      <c r="C210" s="11">
        <v>200</v>
      </c>
      <c r="D210" s="41">
        <f>190300-60000</f>
        <v>130300</v>
      </c>
    </row>
    <row r="211" spans="1:4" ht="75" x14ac:dyDescent="0.3">
      <c r="A211" s="43" t="s">
        <v>604</v>
      </c>
      <c r="B211" s="33" t="s">
        <v>343</v>
      </c>
      <c r="C211" s="11">
        <v>800</v>
      </c>
      <c r="D211" s="41">
        <v>6000</v>
      </c>
    </row>
    <row r="212" spans="1:4" ht="93.75" x14ac:dyDescent="0.3">
      <c r="A212" s="44" t="s">
        <v>446</v>
      </c>
      <c r="B212" s="33" t="s">
        <v>424</v>
      </c>
      <c r="C212" s="11">
        <v>600</v>
      </c>
      <c r="D212" s="41">
        <f>190700+60000+68000</f>
        <v>318700</v>
      </c>
    </row>
    <row r="213" spans="1:4" s="3" customFormat="1" ht="71.25" customHeight="1" x14ac:dyDescent="0.3">
      <c r="A213" s="26" t="s">
        <v>344</v>
      </c>
      <c r="B213" s="31" t="s">
        <v>345</v>
      </c>
      <c r="C213" s="11"/>
      <c r="D213" s="58">
        <f>D214</f>
        <v>2475866.2199999997</v>
      </c>
    </row>
    <row r="214" spans="1:4" ht="66" customHeight="1" x14ac:dyDescent="0.3">
      <c r="A214" s="23" t="s">
        <v>346</v>
      </c>
      <c r="B214" s="24" t="s">
        <v>347</v>
      </c>
      <c r="C214" s="4"/>
      <c r="D214" s="50">
        <f>SUM(D215:D222)</f>
        <v>2475866.2199999997</v>
      </c>
    </row>
    <row r="215" spans="1:4" ht="131.25" x14ac:dyDescent="0.3">
      <c r="A215" s="21" t="s">
        <v>348</v>
      </c>
      <c r="B215" s="27" t="s">
        <v>349</v>
      </c>
      <c r="C215" s="4">
        <v>100</v>
      </c>
      <c r="D215" s="41">
        <f>1368793.34+150+413375.43+114762.45</f>
        <v>1897081.22</v>
      </c>
    </row>
    <row r="216" spans="1:4" s="8" customFormat="1" ht="87" customHeight="1" x14ac:dyDescent="0.3">
      <c r="A216" s="21" t="s">
        <v>350</v>
      </c>
      <c r="B216" s="27" t="s">
        <v>349</v>
      </c>
      <c r="C216" s="4">
        <v>200</v>
      </c>
      <c r="D216" s="41">
        <f>104185+3000+70000+5000</f>
        <v>182185</v>
      </c>
    </row>
    <row r="217" spans="1:4" s="8" customFormat="1" ht="66.75" customHeight="1" x14ac:dyDescent="0.3">
      <c r="A217" s="21" t="s">
        <v>414</v>
      </c>
      <c r="B217" s="27" t="s">
        <v>349</v>
      </c>
      <c r="C217" s="4">
        <v>800</v>
      </c>
      <c r="D217" s="41">
        <v>1500</v>
      </c>
    </row>
    <row r="218" spans="1:4" s="3" customFormat="1" ht="68.25" customHeight="1" x14ac:dyDescent="0.3">
      <c r="A218" s="21" t="s">
        <v>351</v>
      </c>
      <c r="B218" s="27" t="s">
        <v>352</v>
      </c>
      <c r="C218" s="4">
        <v>200</v>
      </c>
      <c r="D218" s="41">
        <v>10000</v>
      </c>
    </row>
    <row r="219" spans="1:4" ht="63.75" customHeight="1" x14ac:dyDescent="0.3">
      <c r="A219" s="21" t="s">
        <v>191</v>
      </c>
      <c r="B219" s="27" t="s">
        <v>353</v>
      </c>
      <c r="C219" s="4">
        <v>200</v>
      </c>
      <c r="D219" s="41">
        <f>10000+10000</f>
        <v>20000</v>
      </c>
    </row>
    <row r="220" spans="1:4" ht="85.5" customHeight="1" x14ac:dyDescent="0.3">
      <c r="A220" s="44" t="s">
        <v>354</v>
      </c>
      <c r="B220" s="33" t="s">
        <v>355</v>
      </c>
      <c r="C220" s="11">
        <v>200</v>
      </c>
      <c r="D220" s="41">
        <f>121000+20000+86100-6000+70000</f>
        <v>291100</v>
      </c>
    </row>
    <row r="221" spans="1:4" ht="51" customHeight="1" x14ac:dyDescent="0.3">
      <c r="A221" s="52" t="s">
        <v>434</v>
      </c>
      <c r="B221" s="11" t="s">
        <v>355</v>
      </c>
      <c r="C221" s="11">
        <v>800</v>
      </c>
      <c r="D221" s="41">
        <v>20000</v>
      </c>
    </row>
    <row r="222" spans="1:4" ht="112.5" x14ac:dyDescent="0.3">
      <c r="A222" s="21" t="s">
        <v>529</v>
      </c>
      <c r="B222" s="27" t="s">
        <v>356</v>
      </c>
      <c r="C222" s="4">
        <v>600</v>
      </c>
      <c r="D222" s="41">
        <f>10000+44000+70000-70000</f>
        <v>54000</v>
      </c>
    </row>
    <row r="223" spans="1:4" s="8" customFormat="1" ht="66" customHeight="1" x14ac:dyDescent="0.3">
      <c r="A223" s="14" t="s">
        <v>252</v>
      </c>
      <c r="B223" s="15" t="s">
        <v>91</v>
      </c>
      <c r="C223" s="7"/>
      <c r="D223" s="58">
        <f>D224+D230+D234+D238</f>
        <v>1574000</v>
      </c>
    </row>
    <row r="224" spans="1:4" s="3" customFormat="1" ht="49.5" customHeight="1" x14ac:dyDescent="0.3">
      <c r="A224" s="14" t="s">
        <v>253</v>
      </c>
      <c r="B224" s="15" t="s">
        <v>92</v>
      </c>
      <c r="C224" s="7"/>
      <c r="D224" s="58">
        <f>D225</f>
        <v>135000</v>
      </c>
    </row>
    <row r="225" spans="1:4" ht="49.5" customHeight="1" x14ac:dyDescent="0.3">
      <c r="A225" s="16" t="s">
        <v>254</v>
      </c>
      <c r="B225" s="17" t="s">
        <v>93</v>
      </c>
      <c r="C225" s="5"/>
      <c r="D225" s="50">
        <f>SUM(D226:D229)</f>
        <v>135000</v>
      </c>
    </row>
    <row r="226" spans="1:4" s="8" customFormat="1" ht="112.5" x14ac:dyDescent="0.3">
      <c r="A226" s="21" t="s">
        <v>357</v>
      </c>
      <c r="B226" s="19" t="s">
        <v>94</v>
      </c>
      <c r="C226" s="4">
        <v>800</v>
      </c>
      <c r="D226" s="41">
        <v>45000</v>
      </c>
    </row>
    <row r="227" spans="1:4" s="8" customFormat="1" ht="104.25" customHeight="1" x14ac:dyDescent="0.3">
      <c r="A227" s="21" t="s">
        <v>358</v>
      </c>
      <c r="B227" s="27" t="s">
        <v>95</v>
      </c>
      <c r="C227" s="4">
        <v>800</v>
      </c>
      <c r="D227" s="41">
        <v>45000</v>
      </c>
    </row>
    <row r="228" spans="1:4" s="3" customFormat="1" ht="105.75" customHeight="1" x14ac:dyDescent="0.3">
      <c r="A228" s="21" t="s">
        <v>359</v>
      </c>
      <c r="B228" s="27" t="s">
        <v>360</v>
      </c>
      <c r="C228" s="4">
        <v>800</v>
      </c>
      <c r="D228" s="41">
        <v>20000</v>
      </c>
    </row>
    <row r="229" spans="1:4" ht="84" customHeight="1" x14ac:dyDescent="0.3">
      <c r="A229" s="21" t="s">
        <v>361</v>
      </c>
      <c r="B229" s="27" t="s">
        <v>362</v>
      </c>
      <c r="C229" s="4">
        <v>800</v>
      </c>
      <c r="D229" s="41">
        <v>25000</v>
      </c>
    </row>
    <row r="230" spans="1:4" ht="75" x14ac:dyDescent="0.3">
      <c r="A230" s="14" t="s">
        <v>255</v>
      </c>
      <c r="B230" s="15" t="s">
        <v>96</v>
      </c>
      <c r="C230" s="7"/>
      <c r="D230" s="58">
        <f>D231</f>
        <v>667000</v>
      </c>
    </row>
    <row r="231" spans="1:4" s="3" customFormat="1" ht="52.5" customHeight="1" x14ac:dyDescent="0.3">
      <c r="A231" s="16" t="s">
        <v>256</v>
      </c>
      <c r="B231" s="17" t="s">
        <v>97</v>
      </c>
      <c r="C231" s="5"/>
      <c r="D231" s="50">
        <f>SUM(D232:D233)</f>
        <v>667000</v>
      </c>
    </row>
    <row r="232" spans="1:4" ht="104.25" customHeight="1" x14ac:dyDescent="0.3">
      <c r="A232" s="18" t="s">
        <v>257</v>
      </c>
      <c r="B232" s="19" t="s">
        <v>98</v>
      </c>
      <c r="C232" s="4">
        <v>200</v>
      </c>
      <c r="D232" s="41">
        <v>250000</v>
      </c>
    </row>
    <row r="233" spans="1:4" s="8" customFormat="1" ht="69" customHeight="1" x14ac:dyDescent="0.3">
      <c r="A233" s="21" t="s">
        <v>363</v>
      </c>
      <c r="B233" s="27" t="s">
        <v>364</v>
      </c>
      <c r="C233" s="4">
        <v>200</v>
      </c>
      <c r="D233" s="41">
        <v>417000</v>
      </c>
    </row>
    <row r="234" spans="1:4" s="3" customFormat="1" ht="85.5" customHeight="1" x14ac:dyDescent="0.3">
      <c r="A234" s="14" t="s">
        <v>258</v>
      </c>
      <c r="B234" s="15" t="s">
        <v>99</v>
      </c>
      <c r="C234" s="7"/>
      <c r="D234" s="58">
        <f>D235</f>
        <v>412000</v>
      </c>
    </row>
    <row r="235" spans="1:4" ht="50.25" customHeight="1" x14ac:dyDescent="0.3">
      <c r="A235" s="16" t="s">
        <v>259</v>
      </c>
      <c r="B235" s="17" t="s">
        <v>100</v>
      </c>
      <c r="C235" s="5"/>
      <c r="D235" s="50">
        <f>SUM(D236:D237)</f>
        <v>412000</v>
      </c>
    </row>
    <row r="236" spans="1:4" ht="107.25" customHeight="1" x14ac:dyDescent="0.3">
      <c r="A236" s="18" t="s">
        <v>366</v>
      </c>
      <c r="B236" s="19" t="s">
        <v>367</v>
      </c>
      <c r="C236" s="4">
        <v>200</v>
      </c>
      <c r="D236" s="41">
        <f>305000+7000</f>
        <v>312000</v>
      </c>
    </row>
    <row r="237" spans="1:4" ht="103.5" customHeight="1" x14ac:dyDescent="0.3">
      <c r="A237" s="18" t="s">
        <v>365</v>
      </c>
      <c r="B237" s="19" t="s">
        <v>425</v>
      </c>
      <c r="C237" s="4">
        <v>200</v>
      </c>
      <c r="D237" s="41">
        <v>100000</v>
      </c>
    </row>
    <row r="238" spans="1:4" s="3" customFormat="1" ht="123" customHeight="1" x14ac:dyDescent="0.3">
      <c r="A238" s="26" t="s">
        <v>368</v>
      </c>
      <c r="B238" s="31" t="s">
        <v>369</v>
      </c>
      <c r="C238" s="4"/>
      <c r="D238" s="58">
        <f>D239</f>
        <v>360000</v>
      </c>
    </row>
    <row r="239" spans="1:4" ht="102.75" customHeight="1" x14ac:dyDescent="0.3">
      <c r="A239" s="23" t="s">
        <v>370</v>
      </c>
      <c r="B239" s="24" t="s">
        <v>371</v>
      </c>
      <c r="C239" s="4"/>
      <c r="D239" s="50">
        <f>SUM(D240:D241)</f>
        <v>360000</v>
      </c>
    </row>
    <row r="240" spans="1:4" ht="106.5" customHeight="1" x14ac:dyDescent="0.3">
      <c r="A240" s="46" t="s">
        <v>422</v>
      </c>
      <c r="B240" s="27" t="s">
        <v>372</v>
      </c>
      <c r="C240" s="4">
        <v>200</v>
      </c>
      <c r="D240" s="41">
        <f>180000-180000</f>
        <v>0</v>
      </c>
    </row>
    <row r="241" spans="1:4" ht="105" customHeight="1" x14ac:dyDescent="0.3">
      <c r="A241" s="46" t="s">
        <v>423</v>
      </c>
      <c r="B241" s="27" t="s">
        <v>373</v>
      </c>
      <c r="C241" s="4">
        <v>200</v>
      </c>
      <c r="D241" s="41">
        <f>180000+180000</f>
        <v>360000</v>
      </c>
    </row>
    <row r="242" spans="1:4" ht="83.25" customHeight="1" x14ac:dyDescent="0.3">
      <c r="A242" s="14" t="s">
        <v>374</v>
      </c>
      <c r="B242" s="15" t="s">
        <v>101</v>
      </c>
      <c r="C242" s="7"/>
      <c r="D242" s="58">
        <f t="shared" ref="D242" si="3">D243</f>
        <v>1635151.44</v>
      </c>
    </row>
    <row r="243" spans="1:4" s="8" customFormat="1" ht="66.75" customHeight="1" x14ac:dyDescent="0.3">
      <c r="A243" s="14" t="s">
        <v>260</v>
      </c>
      <c r="B243" s="15" t="s">
        <v>102</v>
      </c>
      <c r="C243" s="7"/>
      <c r="D243" s="58">
        <f>D244+D247</f>
        <v>1635151.44</v>
      </c>
    </row>
    <row r="244" spans="1:4" s="8" customFormat="1" ht="65.25" customHeight="1" x14ac:dyDescent="0.3">
      <c r="A244" s="16" t="s">
        <v>261</v>
      </c>
      <c r="B244" s="17" t="s">
        <v>103</v>
      </c>
      <c r="C244" s="5"/>
      <c r="D244" s="50">
        <f>SUM(D245:D246)</f>
        <v>1585151.44</v>
      </c>
    </row>
    <row r="245" spans="1:4" s="3" customFormat="1" ht="105.75" customHeight="1" x14ac:dyDescent="0.3">
      <c r="A245" s="18" t="s">
        <v>262</v>
      </c>
      <c r="B245" s="19" t="s">
        <v>104</v>
      </c>
      <c r="C245" s="4">
        <v>200</v>
      </c>
      <c r="D245" s="41">
        <f>150000+50000+50000-50000+339011.24</f>
        <v>539011.24</v>
      </c>
    </row>
    <row r="246" spans="1:4" s="3" customFormat="1" ht="106.5" customHeight="1" x14ac:dyDescent="0.3">
      <c r="A246" s="32" t="s">
        <v>429</v>
      </c>
      <c r="B246" s="33" t="s">
        <v>104</v>
      </c>
      <c r="C246" s="4">
        <v>600</v>
      </c>
      <c r="D246" s="41">
        <f>310000+736140.2</f>
        <v>1046140.2</v>
      </c>
    </row>
    <row r="247" spans="1:4" s="3" customFormat="1" ht="81" customHeight="1" x14ac:dyDescent="0.3">
      <c r="A247" s="54" t="s">
        <v>530</v>
      </c>
      <c r="B247" s="49" t="s">
        <v>531</v>
      </c>
      <c r="C247" s="5"/>
      <c r="D247" s="50">
        <f>D248</f>
        <v>50000</v>
      </c>
    </row>
    <row r="248" spans="1:4" s="3" customFormat="1" ht="118.5" customHeight="1" x14ac:dyDescent="0.3">
      <c r="A248" s="32" t="s">
        <v>535</v>
      </c>
      <c r="B248" s="33" t="s">
        <v>532</v>
      </c>
      <c r="C248" s="4">
        <v>200</v>
      </c>
      <c r="D248" s="41">
        <v>50000</v>
      </c>
    </row>
    <row r="249" spans="1:4" ht="103.5" customHeight="1" x14ac:dyDescent="0.3">
      <c r="A249" s="14" t="s">
        <v>106</v>
      </c>
      <c r="B249" s="15" t="s">
        <v>105</v>
      </c>
      <c r="C249" s="7"/>
      <c r="D249" s="58">
        <f>D250+D258</f>
        <v>266800</v>
      </c>
    </row>
    <row r="250" spans="1:4" ht="85.5" customHeight="1" x14ac:dyDescent="0.3">
      <c r="A250" s="14" t="s">
        <v>199</v>
      </c>
      <c r="B250" s="15" t="s">
        <v>107</v>
      </c>
      <c r="C250" s="7"/>
      <c r="D250" s="58">
        <f>D251+D254</f>
        <v>112000</v>
      </c>
    </row>
    <row r="251" spans="1:4" ht="70.5" customHeight="1" x14ac:dyDescent="0.3">
      <c r="A251" s="16" t="s">
        <v>109</v>
      </c>
      <c r="B251" s="17" t="s">
        <v>108</v>
      </c>
      <c r="C251" s="5"/>
      <c r="D251" s="50">
        <f>SUM(D252:D253)</f>
        <v>20000</v>
      </c>
    </row>
    <row r="252" spans="1:4" s="8" customFormat="1" ht="102" customHeight="1" x14ac:dyDescent="0.3">
      <c r="A252" s="18" t="s">
        <v>192</v>
      </c>
      <c r="B252" s="19" t="s">
        <v>110</v>
      </c>
      <c r="C252" s="4">
        <v>200</v>
      </c>
      <c r="D252" s="41">
        <v>10000</v>
      </c>
    </row>
    <row r="253" spans="1:4" s="8" customFormat="1" ht="87.75" customHeight="1" x14ac:dyDescent="0.3">
      <c r="A253" s="18" t="s">
        <v>375</v>
      </c>
      <c r="B253" s="19" t="s">
        <v>111</v>
      </c>
      <c r="C253" s="4">
        <v>200</v>
      </c>
      <c r="D253" s="41">
        <v>10000</v>
      </c>
    </row>
    <row r="254" spans="1:4" ht="67.5" customHeight="1" x14ac:dyDescent="0.3">
      <c r="A254" s="16" t="s">
        <v>113</v>
      </c>
      <c r="B254" s="17" t="s">
        <v>112</v>
      </c>
      <c r="C254" s="5"/>
      <c r="D254" s="50">
        <f>SUM(D255:D257)</f>
        <v>92000</v>
      </c>
    </row>
    <row r="255" spans="1:4" ht="83.25" customHeight="1" x14ac:dyDescent="0.3">
      <c r="A255" s="18" t="s">
        <v>193</v>
      </c>
      <c r="B255" s="19" t="s">
        <v>114</v>
      </c>
      <c r="C255" s="4">
        <v>200</v>
      </c>
      <c r="D255" s="41">
        <f>10000+40000</f>
        <v>50000</v>
      </c>
    </row>
    <row r="256" spans="1:4" ht="84.75" customHeight="1" x14ac:dyDescent="0.3">
      <c r="A256" s="18" t="s">
        <v>198</v>
      </c>
      <c r="B256" s="19" t="s">
        <v>114</v>
      </c>
      <c r="C256" s="4">
        <v>600</v>
      </c>
      <c r="D256" s="41">
        <v>20000</v>
      </c>
    </row>
    <row r="257" spans="1:4" ht="84.75" customHeight="1" x14ac:dyDescent="0.3">
      <c r="A257" s="18" t="s">
        <v>578</v>
      </c>
      <c r="B257" s="19" t="s">
        <v>570</v>
      </c>
      <c r="C257" s="4">
        <v>200</v>
      </c>
      <c r="D257" s="41">
        <v>22000</v>
      </c>
    </row>
    <row r="258" spans="1:4" s="3" customFormat="1" ht="146.25" customHeight="1" x14ac:dyDescent="0.3">
      <c r="A258" s="14" t="s">
        <v>430</v>
      </c>
      <c r="B258" s="15" t="s">
        <v>115</v>
      </c>
      <c r="C258" s="7"/>
      <c r="D258" s="58">
        <f t="shared" ref="D258:D259" si="4">D259</f>
        <v>154800</v>
      </c>
    </row>
    <row r="259" spans="1:4" ht="70.5" customHeight="1" x14ac:dyDescent="0.3">
      <c r="A259" s="16" t="s">
        <v>431</v>
      </c>
      <c r="B259" s="17" t="s">
        <v>116</v>
      </c>
      <c r="C259" s="5"/>
      <c r="D259" s="50">
        <f t="shared" si="4"/>
        <v>154800</v>
      </c>
    </row>
    <row r="260" spans="1:4" ht="144.75" customHeight="1" x14ac:dyDescent="0.3">
      <c r="A260" s="18" t="s">
        <v>432</v>
      </c>
      <c r="B260" s="19" t="s">
        <v>117</v>
      </c>
      <c r="C260" s="4">
        <v>600</v>
      </c>
      <c r="D260" s="41">
        <v>154800</v>
      </c>
    </row>
    <row r="261" spans="1:4" ht="90" customHeight="1" x14ac:dyDescent="0.3">
      <c r="A261" s="14" t="s">
        <v>263</v>
      </c>
      <c r="B261" s="15" t="s">
        <v>118</v>
      </c>
      <c r="C261" s="7"/>
      <c r="D261" s="58">
        <f>D262+D278+D282</f>
        <v>47252849.969999991</v>
      </c>
    </row>
    <row r="262" spans="1:4" ht="93" customHeight="1" x14ac:dyDescent="0.3">
      <c r="A262" s="14" t="s">
        <v>264</v>
      </c>
      <c r="B262" s="15" t="s">
        <v>119</v>
      </c>
      <c r="C262" s="7"/>
      <c r="D262" s="58">
        <f>D263+D265+D269+D274</f>
        <v>41895737.349999994</v>
      </c>
    </row>
    <row r="263" spans="1:4" s="8" customFormat="1" ht="63" customHeight="1" x14ac:dyDescent="0.3">
      <c r="A263" s="16" t="s">
        <v>121</v>
      </c>
      <c r="B263" s="17" t="s">
        <v>120</v>
      </c>
      <c r="C263" s="5"/>
      <c r="D263" s="50">
        <f>D264</f>
        <v>1098290.4099999999</v>
      </c>
    </row>
    <row r="264" spans="1:4" s="3" customFormat="1" ht="126" customHeight="1" x14ac:dyDescent="0.3">
      <c r="A264" s="18" t="s">
        <v>169</v>
      </c>
      <c r="B264" s="19" t="s">
        <v>122</v>
      </c>
      <c r="C264" s="4">
        <v>100</v>
      </c>
      <c r="D264" s="41">
        <f>816192+226485.38+55613.03</f>
        <v>1098290.4099999999</v>
      </c>
    </row>
    <row r="265" spans="1:4" ht="88.5" customHeight="1" x14ac:dyDescent="0.3">
      <c r="A265" s="16" t="s">
        <v>265</v>
      </c>
      <c r="B265" s="17" t="s">
        <v>123</v>
      </c>
      <c r="C265" s="5"/>
      <c r="D265" s="50">
        <f>SUM(D266:D268)</f>
        <v>40291511.439999998</v>
      </c>
    </row>
    <row r="266" spans="1:4" ht="168.75" x14ac:dyDescent="0.3">
      <c r="A266" s="18" t="s">
        <v>266</v>
      </c>
      <c r="B266" s="19" t="s">
        <v>124</v>
      </c>
      <c r="C266" s="4">
        <v>100</v>
      </c>
      <c r="D266" s="41">
        <f>12694192.92+100+3833659.86+4074990.4+1230647.1+1608612.72+600+485801.05+3709709.12+1120332.16+2558410.4+772639.94+2115390+148256.14+337306.02+196964.48+95865.16+517.25+600-197000-2194+62561.97+42039.68+17436.38</f>
        <v>34907438.75</v>
      </c>
    </row>
    <row r="267" spans="1:4" s="8" customFormat="1" ht="112.5" x14ac:dyDescent="0.3">
      <c r="A267" s="18" t="s">
        <v>376</v>
      </c>
      <c r="B267" s="19" t="s">
        <v>124</v>
      </c>
      <c r="C267" s="4">
        <v>200</v>
      </c>
      <c r="D267" s="41">
        <f>735007.13+896995.8+129000+612042.26+58903.74+6000-50000+1579602.87+207731.32+133900+27000+581135.6-500+14062.86-517.25-600-2011.64-125900+582+20000-1000+98352+161000+126100</f>
        <v>5206886.6900000013</v>
      </c>
    </row>
    <row r="268" spans="1:4" s="3" customFormat="1" ht="93.75" x14ac:dyDescent="0.3">
      <c r="A268" s="18" t="s">
        <v>267</v>
      </c>
      <c r="B268" s="19" t="s">
        <v>124</v>
      </c>
      <c r="C268" s="4">
        <v>800</v>
      </c>
      <c r="D268" s="41">
        <f>92000+17292+16000+4200-6000+50000+500+1000+2194</f>
        <v>177186</v>
      </c>
    </row>
    <row r="269" spans="1:4" s="8" customFormat="1" ht="66" customHeight="1" x14ac:dyDescent="0.3">
      <c r="A269" s="16" t="s">
        <v>268</v>
      </c>
      <c r="B269" s="17" t="s">
        <v>125</v>
      </c>
      <c r="C269" s="5"/>
      <c r="D269" s="50">
        <f>SUM(D270:D273)</f>
        <v>72700</v>
      </c>
    </row>
    <row r="270" spans="1:4" s="8" customFormat="1" ht="123" customHeight="1" x14ac:dyDescent="0.3">
      <c r="A270" s="18" t="s">
        <v>269</v>
      </c>
      <c r="B270" s="19" t="s">
        <v>126</v>
      </c>
      <c r="C270" s="4">
        <v>200</v>
      </c>
      <c r="D270" s="41">
        <v>8000</v>
      </c>
    </row>
    <row r="271" spans="1:4" s="3" customFormat="1" ht="125.25" customHeight="1" x14ac:dyDescent="0.3">
      <c r="A271" s="35" t="s">
        <v>270</v>
      </c>
      <c r="B271" s="19" t="s">
        <v>164</v>
      </c>
      <c r="C271" s="4">
        <v>200</v>
      </c>
      <c r="D271" s="41">
        <f>30000+8000+8000+8000-8000</f>
        <v>46000</v>
      </c>
    </row>
    <row r="272" spans="1:4" ht="102.75" customHeight="1" x14ac:dyDescent="0.3">
      <c r="A272" s="18" t="s">
        <v>271</v>
      </c>
      <c r="B272" s="19" t="s">
        <v>127</v>
      </c>
      <c r="C272" s="4">
        <v>200</v>
      </c>
      <c r="D272" s="41">
        <v>1500</v>
      </c>
    </row>
    <row r="273" spans="1:4" s="3" customFormat="1" ht="85.5" customHeight="1" x14ac:dyDescent="0.3">
      <c r="A273" s="21" t="s">
        <v>377</v>
      </c>
      <c r="B273" s="27" t="s">
        <v>378</v>
      </c>
      <c r="C273" s="4">
        <v>200</v>
      </c>
      <c r="D273" s="41">
        <f>9200+8000</f>
        <v>17200</v>
      </c>
    </row>
    <row r="274" spans="1:4" ht="66" customHeight="1" x14ac:dyDescent="0.3">
      <c r="A274" s="16" t="s">
        <v>129</v>
      </c>
      <c r="B274" s="17" t="s">
        <v>128</v>
      </c>
      <c r="C274" s="5"/>
      <c r="D274" s="50">
        <f>SUM(D275:D277)</f>
        <v>433235.5</v>
      </c>
    </row>
    <row r="275" spans="1:4" ht="105.75" customHeight="1" x14ac:dyDescent="0.3">
      <c r="A275" s="32" t="s">
        <v>205</v>
      </c>
      <c r="B275" s="19" t="s">
        <v>130</v>
      </c>
      <c r="C275" s="4">
        <v>200</v>
      </c>
      <c r="D275" s="41">
        <v>11673.5</v>
      </c>
    </row>
    <row r="276" spans="1:4" ht="163.5" customHeight="1" x14ac:dyDescent="0.3">
      <c r="A276" s="43" t="s">
        <v>206</v>
      </c>
      <c r="B276" s="19" t="s">
        <v>131</v>
      </c>
      <c r="C276" s="4">
        <v>100</v>
      </c>
      <c r="D276" s="41">
        <v>359928.4</v>
      </c>
    </row>
    <row r="277" spans="1:4" ht="115.5" customHeight="1" x14ac:dyDescent="0.3">
      <c r="A277" s="32" t="s">
        <v>207</v>
      </c>
      <c r="B277" s="19" t="s">
        <v>131</v>
      </c>
      <c r="C277" s="4">
        <v>200</v>
      </c>
      <c r="D277" s="41">
        <v>61633.599999999999</v>
      </c>
    </row>
    <row r="278" spans="1:4" ht="145.5" customHeight="1" x14ac:dyDescent="0.3">
      <c r="A278" s="26" t="s">
        <v>379</v>
      </c>
      <c r="B278" s="15" t="s">
        <v>132</v>
      </c>
      <c r="C278" s="7"/>
      <c r="D278" s="58">
        <f t="shared" ref="D278" si="5">D279</f>
        <v>4656176.62</v>
      </c>
    </row>
    <row r="279" spans="1:4" ht="108.75" customHeight="1" x14ac:dyDescent="0.3">
      <c r="A279" s="16" t="s">
        <v>272</v>
      </c>
      <c r="B279" s="17" t="s">
        <v>133</v>
      </c>
      <c r="C279" s="5"/>
      <c r="D279" s="50">
        <f>SUM(D280:D281)</f>
        <v>4656176.62</v>
      </c>
    </row>
    <row r="280" spans="1:4" ht="124.5" customHeight="1" x14ac:dyDescent="0.3">
      <c r="A280" s="18" t="s">
        <v>606</v>
      </c>
      <c r="B280" s="19" t="s">
        <v>605</v>
      </c>
      <c r="C280" s="4">
        <v>600</v>
      </c>
      <c r="D280" s="41">
        <v>1412780</v>
      </c>
    </row>
    <row r="281" spans="1:4" ht="107.25" customHeight="1" x14ac:dyDescent="0.3">
      <c r="A281" s="18" t="s">
        <v>521</v>
      </c>
      <c r="B281" s="19" t="s">
        <v>520</v>
      </c>
      <c r="C281" s="4">
        <v>600</v>
      </c>
      <c r="D281" s="41">
        <v>3243396.62</v>
      </c>
    </row>
    <row r="282" spans="1:4" ht="75" x14ac:dyDescent="0.3">
      <c r="A282" s="26" t="s">
        <v>380</v>
      </c>
      <c r="B282" s="31" t="s">
        <v>381</v>
      </c>
      <c r="C282" s="7"/>
      <c r="D282" s="58">
        <f>D283+D287</f>
        <v>700936</v>
      </c>
    </row>
    <row r="283" spans="1:4" ht="68.25" customHeight="1" x14ac:dyDescent="0.3">
      <c r="A283" s="23" t="s">
        <v>382</v>
      </c>
      <c r="B283" s="24" t="s">
        <v>383</v>
      </c>
      <c r="C283" s="5"/>
      <c r="D283" s="50">
        <f>SUM(D284:D286)</f>
        <v>242230</v>
      </c>
    </row>
    <row r="284" spans="1:4" s="3" customFormat="1" ht="105.75" customHeight="1" x14ac:dyDescent="0.3">
      <c r="A284" s="21" t="s">
        <v>384</v>
      </c>
      <c r="B284" s="27" t="s">
        <v>385</v>
      </c>
      <c r="C284" s="4">
        <v>200</v>
      </c>
      <c r="D284" s="41">
        <f>40450+100000</f>
        <v>140450</v>
      </c>
    </row>
    <row r="285" spans="1:4" ht="122.25" customHeight="1" x14ac:dyDescent="0.3">
      <c r="A285" s="21" t="s">
        <v>386</v>
      </c>
      <c r="B285" s="27" t="s">
        <v>387</v>
      </c>
      <c r="C285" s="4">
        <v>200</v>
      </c>
      <c r="D285" s="41">
        <v>100000</v>
      </c>
    </row>
    <row r="286" spans="1:4" s="3" customFormat="1" ht="99.75" customHeight="1" x14ac:dyDescent="0.3">
      <c r="A286" s="21" t="s">
        <v>388</v>
      </c>
      <c r="B286" s="27" t="s">
        <v>389</v>
      </c>
      <c r="C286" s="4">
        <v>200</v>
      </c>
      <c r="D286" s="41">
        <f>14954-13174</f>
        <v>1780</v>
      </c>
    </row>
    <row r="287" spans="1:4" ht="45.75" customHeight="1" x14ac:dyDescent="0.3">
      <c r="A287" s="23" t="s">
        <v>390</v>
      </c>
      <c r="B287" s="24" t="s">
        <v>391</v>
      </c>
      <c r="C287" s="4"/>
      <c r="D287" s="50">
        <f>SUM(D288:D289)</f>
        <v>458706</v>
      </c>
    </row>
    <row r="288" spans="1:4" ht="82.5" customHeight="1" x14ac:dyDescent="0.3">
      <c r="A288" s="21" t="s">
        <v>392</v>
      </c>
      <c r="B288" s="27" t="s">
        <v>393</v>
      </c>
      <c r="C288" s="4">
        <v>200</v>
      </c>
      <c r="D288" s="41">
        <f>242732+2800+13174</f>
        <v>258706</v>
      </c>
    </row>
    <row r="289" spans="1:4" ht="67.5" customHeight="1" x14ac:dyDescent="0.3">
      <c r="A289" s="21" t="s">
        <v>394</v>
      </c>
      <c r="B289" s="27" t="s">
        <v>395</v>
      </c>
      <c r="C289" s="4">
        <v>200</v>
      </c>
      <c r="D289" s="41">
        <f>100000+100000</f>
        <v>200000</v>
      </c>
    </row>
    <row r="290" spans="1:4" ht="82.5" customHeight="1" x14ac:dyDescent="0.3">
      <c r="A290" s="14" t="s">
        <v>135</v>
      </c>
      <c r="B290" s="15" t="s">
        <v>134</v>
      </c>
      <c r="C290" s="7"/>
      <c r="D290" s="58">
        <f>D291+D294</f>
        <v>114400</v>
      </c>
    </row>
    <row r="291" spans="1:4" ht="67.5" customHeight="1" x14ac:dyDescent="0.3">
      <c r="A291" s="14" t="s">
        <v>137</v>
      </c>
      <c r="B291" s="15" t="s">
        <v>136</v>
      </c>
      <c r="C291" s="7"/>
      <c r="D291" s="58">
        <f>D292</f>
        <v>84400</v>
      </c>
    </row>
    <row r="292" spans="1:4" ht="44.25" customHeight="1" x14ac:dyDescent="0.3">
      <c r="A292" s="16" t="s">
        <v>139</v>
      </c>
      <c r="B292" s="17" t="s">
        <v>138</v>
      </c>
      <c r="C292" s="5"/>
      <c r="D292" s="50">
        <f>SUM(D293:D293)</f>
        <v>84400</v>
      </c>
    </row>
    <row r="293" spans="1:4" ht="131.25" x14ac:dyDescent="0.3">
      <c r="A293" s="18" t="s">
        <v>273</v>
      </c>
      <c r="B293" s="19" t="s">
        <v>140</v>
      </c>
      <c r="C293" s="4">
        <v>600</v>
      </c>
      <c r="D293" s="41">
        <f>35000+49400</f>
        <v>84400</v>
      </c>
    </row>
    <row r="294" spans="1:4" s="8" customFormat="1" ht="56.25" x14ac:dyDescent="0.3">
      <c r="A294" s="14" t="s">
        <v>142</v>
      </c>
      <c r="B294" s="15" t="s">
        <v>141</v>
      </c>
      <c r="C294" s="7"/>
      <c r="D294" s="58">
        <f>D295</f>
        <v>30000</v>
      </c>
    </row>
    <row r="295" spans="1:4" s="8" customFormat="1" ht="47.25" customHeight="1" x14ac:dyDescent="0.3">
      <c r="A295" s="16" t="s">
        <v>144</v>
      </c>
      <c r="B295" s="17" t="s">
        <v>143</v>
      </c>
      <c r="C295" s="5"/>
      <c r="D295" s="50">
        <f>SUM(D296:D299)</f>
        <v>30000</v>
      </c>
    </row>
    <row r="296" spans="1:4" s="3" customFormat="1" ht="140.25" customHeight="1" x14ac:dyDescent="0.3">
      <c r="A296" s="18" t="s">
        <v>194</v>
      </c>
      <c r="B296" s="19" t="s">
        <v>145</v>
      </c>
      <c r="C296" s="4">
        <v>200</v>
      </c>
      <c r="D296" s="41">
        <f>10000+5000</f>
        <v>15000</v>
      </c>
    </row>
    <row r="297" spans="1:4" ht="100.5" customHeight="1" x14ac:dyDescent="0.3">
      <c r="A297" s="18" t="s">
        <v>195</v>
      </c>
      <c r="B297" s="19" t="s">
        <v>146</v>
      </c>
      <c r="C297" s="4">
        <v>200</v>
      </c>
      <c r="D297" s="41">
        <v>4000</v>
      </c>
    </row>
    <row r="298" spans="1:4" ht="105.75" customHeight="1" x14ac:dyDescent="0.3">
      <c r="A298" s="18" t="s">
        <v>196</v>
      </c>
      <c r="B298" s="19" t="s">
        <v>147</v>
      </c>
      <c r="C298" s="4">
        <v>200</v>
      </c>
      <c r="D298" s="41">
        <v>5000</v>
      </c>
    </row>
    <row r="299" spans="1:4" s="8" customFormat="1" ht="123" customHeight="1" x14ac:dyDescent="0.3">
      <c r="A299" s="18" t="s">
        <v>197</v>
      </c>
      <c r="B299" s="19" t="s">
        <v>148</v>
      </c>
      <c r="C299" s="4">
        <v>200</v>
      </c>
      <c r="D299" s="41">
        <v>6000</v>
      </c>
    </row>
    <row r="300" spans="1:4" s="3" customFormat="1" ht="131.25" x14ac:dyDescent="0.3">
      <c r="A300" s="47" t="s">
        <v>416</v>
      </c>
      <c r="B300" s="31" t="s">
        <v>396</v>
      </c>
      <c r="C300" s="4"/>
      <c r="D300" s="58">
        <f>D301</f>
        <v>13500</v>
      </c>
    </row>
    <row r="301" spans="1:4" ht="47.25" customHeight="1" x14ac:dyDescent="0.3">
      <c r="A301" s="45" t="s">
        <v>412</v>
      </c>
      <c r="B301" s="31" t="s">
        <v>397</v>
      </c>
      <c r="C301" s="7"/>
      <c r="D301" s="58">
        <f>D302+D304</f>
        <v>13500</v>
      </c>
    </row>
    <row r="302" spans="1:4" ht="63" customHeight="1" x14ac:dyDescent="0.3">
      <c r="A302" s="48" t="s">
        <v>415</v>
      </c>
      <c r="B302" s="49" t="s">
        <v>398</v>
      </c>
      <c r="C302" s="11"/>
      <c r="D302" s="50">
        <f>SUM(D303)</f>
        <v>12000</v>
      </c>
    </row>
    <row r="303" spans="1:4" ht="104.25" customHeight="1" x14ac:dyDescent="0.3">
      <c r="A303" s="21" t="s">
        <v>399</v>
      </c>
      <c r="B303" s="27" t="s">
        <v>400</v>
      </c>
      <c r="C303" s="4">
        <v>200</v>
      </c>
      <c r="D303" s="41">
        <v>12000</v>
      </c>
    </row>
    <row r="304" spans="1:4" ht="187.5" x14ac:dyDescent="0.3">
      <c r="A304" s="23" t="s">
        <v>401</v>
      </c>
      <c r="B304" s="24" t="s">
        <v>402</v>
      </c>
      <c r="C304" s="4"/>
      <c r="D304" s="50">
        <f>D305</f>
        <v>1500</v>
      </c>
    </row>
    <row r="305" spans="1:4" s="8" customFormat="1" ht="120" customHeight="1" x14ac:dyDescent="0.3">
      <c r="A305" s="44" t="s">
        <v>413</v>
      </c>
      <c r="B305" s="27" t="s">
        <v>403</v>
      </c>
      <c r="C305" s="4">
        <v>200</v>
      </c>
      <c r="D305" s="41">
        <v>1500</v>
      </c>
    </row>
    <row r="306" spans="1:4" ht="81" customHeight="1" x14ac:dyDescent="0.3">
      <c r="A306" s="47" t="s">
        <v>433</v>
      </c>
      <c r="B306" s="15" t="s">
        <v>404</v>
      </c>
      <c r="C306" s="4"/>
      <c r="D306" s="58">
        <f>D307+D311</f>
        <v>837774.7</v>
      </c>
    </row>
    <row r="307" spans="1:4" ht="46.5" customHeight="1" x14ac:dyDescent="0.3">
      <c r="A307" s="14" t="s">
        <v>238</v>
      </c>
      <c r="B307" s="15" t="s">
        <v>405</v>
      </c>
      <c r="C307" s="4"/>
      <c r="D307" s="58">
        <f>D308</f>
        <v>639054.69999999995</v>
      </c>
    </row>
    <row r="308" spans="1:4" ht="45" customHeight="1" x14ac:dyDescent="0.3">
      <c r="A308" s="16" t="s">
        <v>239</v>
      </c>
      <c r="B308" s="17" t="s">
        <v>406</v>
      </c>
      <c r="C308" s="4"/>
      <c r="D308" s="50">
        <f>SUM(D309:D310)</f>
        <v>639054.69999999995</v>
      </c>
    </row>
    <row r="309" spans="1:4" ht="75" x14ac:dyDescent="0.3">
      <c r="A309" s="18" t="s">
        <v>240</v>
      </c>
      <c r="B309" s="19" t="s">
        <v>577</v>
      </c>
      <c r="C309" s="4">
        <v>300</v>
      </c>
      <c r="D309" s="41">
        <v>627900</v>
      </c>
    </row>
    <row r="310" spans="1:4" ht="108" customHeight="1" x14ac:dyDescent="0.3">
      <c r="A310" s="64" t="s">
        <v>572</v>
      </c>
      <c r="B310" s="19" t="s">
        <v>571</v>
      </c>
      <c r="C310" s="4">
        <v>300</v>
      </c>
      <c r="D310" s="41">
        <f>11254.7-100</f>
        <v>11154.7</v>
      </c>
    </row>
    <row r="311" spans="1:4" ht="64.5" customHeight="1" x14ac:dyDescent="0.3">
      <c r="A311" s="14" t="s">
        <v>241</v>
      </c>
      <c r="B311" s="15" t="s">
        <v>407</v>
      </c>
      <c r="C311" s="4"/>
      <c r="D311" s="58">
        <f>D312</f>
        <v>198720</v>
      </c>
    </row>
    <row r="312" spans="1:4" ht="63.75" customHeight="1" x14ac:dyDescent="0.3">
      <c r="A312" s="16" t="s">
        <v>242</v>
      </c>
      <c r="B312" s="17" t="s">
        <v>408</v>
      </c>
      <c r="C312" s="4"/>
      <c r="D312" s="50">
        <f>SUM(D313:D313)</f>
        <v>198720</v>
      </c>
    </row>
    <row r="313" spans="1:4" ht="141" customHeight="1" x14ac:dyDescent="0.3">
      <c r="A313" s="21" t="s">
        <v>563</v>
      </c>
      <c r="B313" s="27" t="s">
        <v>562</v>
      </c>
      <c r="C313" s="4">
        <v>300</v>
      </c>
      <c r="D313" s="41">
        <v>198720</v>
      </c>
    </row>
    <row r="314" spans="1:4" ht="86.25" customHeight="1" x14ac:dyDescent="0.3">
      <c r="A314" s="47" t="s">
        <v>486</v>
      </c>
      <c r="B314" s="53" t="s">
        <v>487</v>
      </c>
      <c r="C314" s="56"/>
      <c r="D314" s="58">
        <f>D315</f>
        <v>209950</v>
      </c>
    </row>
    <row r="315" spans="1:4" ht="76.5" customHeight="1" x14ac:dyDescent="0.3">
      <c r="A315" s="47" t="s">
        <v>488</v>
      </c>
      <c r="B315" s="53" t="s">
        <v>489</v>
      </c>
      <c r="C315" s="56"/>
      <c r="D315" s="58">
        <f>D316</f>
        <v>209950</v>
      </c>
    </row>
    <row r="316" spans="1:4" ht="59.25" customHeight="1" x14ac:dyDescent="0.3">
      <c r="A316" s="48" t="s">
        <v>490</v>
      </c>
      <c r="B316" s="49" t="s">
        <v>491</v>
      </c>
      <c r="C316" s="34"/>
      <c r="D316" s="50">
        <f>SUM(D317:D319)</f>
        <v>209950</v>
      </c>
    </row>
    <row r="317" spans="1:4" ht="71.25" customHeight="1" x14ac:dyDescent="0.3">
      <c r="A317" s="44" t="s">
        <v>492</v>
      </c>
      <c r="B317" s="33" t="s">
        <v>493</v>
      </c>
      <c r="C317" s="11">
        <v>200</v>
      </c>
      <c r="D317" s="41">
        <v>15000</v>
      </c>
    </row>
    <row r="318" spans="1:4" ht="93" customHeight="1" x14ac:dyDescent="0.3">
      <c r="A318" s="44" t="s">
        <v>494</v>
      </c>
      <c r="B318" s="33" t="s">
        <v>495</v>
      </c>
      <c r="C318" s="11">
        <v>200</v>
      </c>
      <c r="D318" s="41">
        <f>20000+6000+56000+6000+35750+10300</f>
        <v>134050</v>
      </c>
    </row>
    <row r="319" spans="1:4" ht="93" customHeight="1" x14ac:dyDescent="0.3">
      <c r="A319" s="44" t="s">
        <v>496</v>
      </c>
      <c r="B319" s="33" t="s">
        <v>495</v>
      </c>
      <c r="C319" s="11">
        <v>600</v>
      </c>
      <c r="D319" s="41">
        <f>18000+10010+32890</f>
        <v>60900</v>
      </c>
    </row>
    <row r="320" spans="1:4" s="8" customFormat="1" ht="108" customHeight="1" x14ac:dyDescent="0.3">
      <c r="A320" s="14" t="s">
        <v>533</v>
      </c>
      <c r="B320" s="15" t="s">
        <v>149</v>
      </c>
      <c r="C320" s="7"/>
      <c r="D320" s="58">
        <f>SUM(D321:D329)</f>
        <v>5510725.7200000007</v>
      </c>
    </row>
    <row r="321" spans="1:4" s="8" customFormat="1" ht="123" customHeight="1" x14ac:dyDescent="0.3">
      <c r="A321" s="18" t="s">
        <v>274</v>
      </c>
      <c r="B321" s="19" t="s">
        <v>150</v>
      </c>
      <c r="C321" s="4">
        <v>100</v>
      </c>
      <c r="D321" s="41">
        <f>946202.4+285753.12+271092.54</f>
        <v>1503048.06</v>
      </c>
    </row>
    <row r="322" spans="1:4" s="8" customFormat="1" ht="81.75" customHeight="1" x14ac:dyDescent="0.3">
      <c r="A322" s="18" t="s">
        <v>275</v>
      </c>
      <c r="B322" s="19" t="s">
        <v>150</v>
      </c>
      <c r="C322" s="4">
        <v>200</v>
      </c>
      <c r="D322" s="41">
        <f>283770+8899+13000+311030</f>
        <v>616699</v>
      </c>
    </row>
    <row r="323" spans="1:4" ht="63.75" customHeight="1" x14ac:dyDescent="0.3">
      <c r="A323" s="18" t="s">
        <v>276</v>
      </c>
      <c r="B323" s="19" t="s">
        <v>150</v>
      </c>
      <c r="C323" s="4">
        <v>800</v>
      </c>
      <c r="D323" s="41">
        <f>3500+14000</f>
        <v>17500</v>
      </c>
    </row>
    <row r="324" spans="1:4" ht="141.75" customHeight="1" x14ac:dyDescent="0.3">
      <c r="A324" s="18" t="s">
        <v>277</v>
      </c>
      <c r="B324" s="19" t="s">
        <v>151</v>
      </c>
      <c r="C324" s="4">
        <v>100</v>
      </c>
      <c r="D324" s="41">
        <f>80899-8899</f>
        <v>72000</v>
      </c>
    </row>
    <row r="325" spans="1:4" ht="145.5" customHeight="1" x14ac:dyDescent="0.3">
      <c r="A325" s="18" t="s">
        <v>170</v>
      </c>
      <c r="B325" s="19" t="s">
        <v>152</v>
      </c>
      <c r="C325" s="4">
        <v>100</v>
      </c>
      <c r="D325" s="41">
        <f>908606.4+275303.97+600</f>
        <v>1184510.3700000001</v>
      </c>
    </row>
    <row r="326" spans="1:4" ht="83.25" customHeight="1" x14ac:dyDescent="0.3">
      <c r="A326" s="18" t="s">
        <v>278</v>
      </c>
      <c r="B326" s="19" t="s">
        <v>152</v>
      </c>
      <c r="C326" s="4">
        <v>200</v>
      </c>
      <c r="D326" s="41">
        <f>222035-100+2880</f>
        <v>224815</v>
      </c>
    </row>
    <row r="327" spans="1:4" ht="150" x14ac:dyDescent="0.3">
      <c r="A327" s="18" t="s">
        <v>171</v>
      </c>
      <c r="B327" s="19" t="s">
        <v>153</v>
      </c>
      <c r="C327" s="4">
        <v>100</v>
      </c>
      <c r="D327" s="38">
        <f>545388.48+164707.32</f>
        <v>710095.8</v>
      </c>
    </row>
    <row r="328" spans="1:4" ht="126" customHeight="1" x14ac:dyDescent="0.3">
      <c r="A328" s="20" t="s">
        <v>172</v>
      </c>
      <c r="B328" s="19" t="s">
        <v>163</v>
      </c>
      <c r="C328" s="4">
        <v>100</v>
      </c>
      <c r="D328" s="38">
        <f>800212.36+241664.13</f>
        <v>1041876.49</v>
      </c>
    </row>
    <row r="329" spans="1:4" ht="205.5" customHeight="1" x14ac:dyDescent="0.3">
      <c r="A329" s="20" t="s">
        <v>574</v>
      </c>
      <c r="B329" s="19" t="s">
        <v>573</v>
      </c>
      <c r="C329" s="4">
        <v>100</v>
      </c>
      <c r="D329" s="38">
        <v>140181</v>
      </c>
    </row>
    <row r="330" spans="1:4" ht="93.75" customHeight="1" x14ac:dyDescent="0.3">
      <c r="A330" s="14" t="s">
        <v>419</v>
      </c>
      <c r="B330" s="15" t="s">
        <v>420</v>
      </c>
      <c r="C330" s="7"/>
      <c r="D330" s="40">
        <f>SUM(D331:D342)</f>
        <v>4996965.7600000007</v>
      </c>
    </row>
    <row r="331" spans="1:4" ht="66" customHeight="1" x14ac:dyDescent="0.3">
      <c r="A331" s="18" t="s">
        <v>504</v>
      </c>
      <c r="B331" s="19" t="s">
        <v>497</v>
      </c>
      <c r="C331" s="4">
        <v>200</v>
      </c>
      <c r="D331" s="38">
        <f>359104+1538691.74+40000+100000-17300</f>
        <v>2020495.74</v>
      </c>
    </row>
    <row r="332" spans="1:4" ht="66" customHeight="1" x14ac:dyDescent="0.3">
      <c r="A332" s="18" t="s">
        <v>597</v>
      </c>
      <c r="B332" s="19" t="s">
        <v>497</v>
      </c>
      <c r="C332" s="4">
        <v>800</v>
      </c>
      <c r="D332" s="38">
        <v>6712</v>
      </c>
    </row>
    <row r="333" spans="1:4" ht="189" customHeight="1" x14ac:dyDescent="0.3">
      <c r="A333" s="21" t="s">
        <v>522</v>
      </c>
      <c r="B333" s="19" t="s">
        <v>498</v>
      </c>
      <c r="C333" s="4">
        <v>500</v>
      </c>
      <c r="D333" s="38">
        <v>20000</v>
      </c>
    </row>
    <row r="334" spans="1:4" ht="64.5" customHeight="1" x14ac:dyDescent="0.3">
      <c r="A334" s="18" t="s">
        <v>505</v>
      </c>
      <c r="B334" s="19" t="s">
        <v>499</v>
      </c>
      <c r="C334" s="4">
        <v>500</v>
      </c>
      <c r="D334" s="38">
        <f>100000+666.75</f>
        <v>100666.75</v>
      </c>
    </row>
    <row r="335" spans="1:4" ht="103.5" customHeight="1" x14ac:dyDescent="0.3">
      <c r="A335" s="18" t="s">
        <v>503</v>
      </c>
      <c r="B335" s="19" t="s">
        <v>500</v>
      </c>
      <c r="C335" s="4">
        <v>200</v>
      </c>
      <c r="D335" s="38">
        <v>200000</v>
      </c>
    </row>
    <row r="336" spans="1:4" ht="70.5" customHeight="1" x14ac:dyDescent="0.3">
      <c r="A336" s="18" t="s">
        <v>560</v>
      </c>
      <c r="B336" s="19" t="s">
        <v>559</v>
      </c>
      <c r="C336" s="4">
        <v>200</v>
      </c>
      <c r="D336" s="38">
        <f>58600+12600+19584.71</f>
        <v>90784.709999999992</v>
      </c>
    </row>
    <row r="337" spans="1:4" ht="143.25" customHeight="1" x14ac:dyDescent="0.3">
      <c r="A337" s="18" t="s">
        <v>576</v>
      </c>
      <c r="B337" s="19" t="s">
        <v>575</v>
      </c>
      <c r="C337" s="4">
        <v>300</v>
      </c>
      <c r="D337" s="38">
        <v>20000</v>
      </c>
    </row>
    <row r="338" spans="1:4" ht="93.75" customHeight="1" x14ac:dyDescent="0.3">
      <c r="A338" s="18" t="s">
        <v>519</v>
      </c>
      <c r="B338" s="33" t="s">
        <v>518</v>
      </c>
      <c r="C338" s="11">
        <v>500</v>
      </c>
      <c r="D338" s="41">
        <v>42817</v>
      </c>
    </row>
    <row r="339" spans="1:4" ht="72.75" customHeight="1" x14ac:dyDescent="0.3">
      <c r="A339" s="18" t="s">
        <v>507</v>
      </c>
      <c r="B339" s="19" t="s">
        <v>501</v>
      </c>
      <c r="C339" s="4">
        <v>300</v>
      </c>
      <c r="D339" s="38">
        <v>1533498.25</v>
      </c>
    </row>
    <row r="340" spans="1:4" ht="198.75" customHeight="1" x14ac:dyDescent="0.3">
      <c r="A340" s="32" t="s">
        <v>417</v>
      </c>
      <c r="B340" s="33" t="s">
        <v>418</v>
      </c>
      <c r="C340" s="11">
        <v>200</v>
      </c>
      <c r="D340" s="41">
        <v>22500</v>
      </c>
    </row>
    <row r="341" spans="1:4" ht="200.25" customHeight="1" x14ac:dyDescent="0.3">
      <c r="A341" s="32" t="s">
        <v>517</v>
      </c>
      <c r="B341" s="33" t="s">
        <v>516</v>
      </c>
      <c r="C341" s="11">
        <v>200</v>
      </c>
      <c r="D341" s="41">
        <v>101433.22</v>
      </c>
    </row>
    <row r="342" spans="1:4" ht="51.75" customHeight="1" x14ac:dyDescent="0.3">
      <c r="A342" s="18" t="s">
        <v>506</v>
      </c>
      <c r="B342" s="19" t="s">
        <v>502</v>
      </c>
      <c r="C342" s="4">
        <v>800</v>
      </c>
      <c r="D342" s="38">
        <f>624984.86+213073.23</f>
        <v>838058.09</v>
      </c>
    </row>
    <row r="343" spans="1:4" ht="21.75" customHeight="1" x14ac:dyDescent="0.3">
      <c r="A343" s="13" t="s">
        <v>409</v>
      </c>
      <c r="B343" s="36"/>
      <c r="C343" s="37"/>
      <c r="D343" s="40">
        <f>D27+D105+D159+D201+D223+D242+D249+D261+D290+D300+D306+D314+D320+D330</f>
        <v>308297796.88000005</v>
      </c>
    </row>
    <row r="344" spans="1:4" x14ac:dyDescent="0.3">
      <c r="B344" s="9"/>
      <c r="C344" s="10"/>
      <c r="D344" s="63" t="s">
        <v>561</v>
      </c>
    </row>
    <row r="346" spans="1:4" s="8" customFormat="1" x14ac:dyDescent="0.3">
      <c r="A346" s="1"/>
      <c r="B346" s="1"/>
      <c r="C346" s="2"/>
      <c r="D346" s="39"/>
    </row>
    <row r="351" spans="1:4" x14ac:dyDescent="0.3">
      <c r="D351" s="42"/>
    </row>
  </sheetData>
  <mergeCells count="25">
    <mergeCell ref="A24:A25"/>
    <mergeCell ref="B24:B25"/>
    <mergeCell ref="C24:C25"/>
    <mergeCell ref="A22:D22"/>
    <mergeCell ref="A23:D23"/>
    <mergeCell ref="D24:D25"/>
    <mergeCell ref="B18:D18"/>
    <mergeCell ref="B19:D19"/>
    <mergeCell ref="B20:D20"/>
    <mergeCell ref="B13:D13"/>
    <mergeCell ref="B14:D14"/>
    <mergeCell ref="B15:D15"/>
    <mergeCell ref="B16:D16"/>
    <mergeCell ref="B17:D17"/>
    <mergeCell ref="B1:D1"/>
    <mergeCell ref="B2:D2"/>
    <mergeCell ref="B3:D3"/>
    <mergeCell ref="B4:D4"/>
    <mergeCell ref="B5:D5"/>
    <mergeCell ref="B11:D11"/>
    <mergeCell ref="B6:D6"/>
    <mergeCell ref="B7:D7"/>
    <mergeCell ref="B8:D8"/>
    <mergeCell ref="B9:D9"/>
    <mergeCell ref="B10:D10"/>
  </mergeCells>
  <pageMargins left="1.0629921259842521" right="0.86614173228346458" top="0.78740157480314965" bottom="0.78740157480314965" header="0" footer="0"/>
  <pageSetup paperSize="9" scale="72"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Прил.№6 Распредел. на 2018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2018-06-04T05:39:47Z</dcterms:modified>
</cp:coreProperties>
</file>