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D134" i="1" l="1"/>
  <c r="D128" i="1"/>
  <c r="D122" i="1"/>
  <c r="E126" i="1"/>
  <c r="D126" i="1"/>
  <c r="D131" i="1"/>
  <c r="E71" i="1" l="1"/>
  <c r="D71" i="1"/>
  <c r="D69" i="1" l="1"/>
  <c r="E313" i="1" l="1"/>
  <c r="D313" i="1"/>
  <c r="E312" i="1"/>
  <c r="D312" i="1"/>
  <c r="E80" i="1"/>
  <c r="D80" i="1"/>
  <c r="E79" i="1"/>
  <c r="D79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124" i="1" l="1"/>
  <c r="D124" i="1"/>
  <c r="D120" i="1" l="1"/>
  <c r="D119" i="1"/>
  <c r="D135" i="1"/>
  <c r="D141" i="1"/>
  <c r="D139" i="1"/>
  <c r="D37" i="1"/>
  <c r="E330" i="1" l="1"/>
  <c r="D330" i="1"/>
  <c r="E329" i="1"/>
  <c r="D329" i="1"/>
  <c r="E328" i="1"/>
  <c r="D328" i="1"/>
  <c r="E327" i="1"/>
  <c r="D327" i="1"/>
  <c r="E323" i="1"/>
  <c r="D323" i="1"/>
  <c r="D116" i="1" l="1"/>
  <c r="E177" i="1" l="1"/>
  <c r="D177" i="1"/>
  <c r="E176" i="1" l="1"/>
  <c r="E175" i="1" s="1"/>
  <c r="D176" i="1"/>
  <c r="D175" i="1" s="1"/>
  <c r="E167" i="1"/>
  <c r="D167" i="1"/>
  <c r="E52" i="1" l="1"/>
  <c r="D52" i="1"/>
  <c r="E242" i="1" l="1"/>
  <c r="D242" i="1"/>
  <c r="D64" i="1" l="1"/>
  <c r="D335" i="1" l="1"/>
  <c r="E324" i="1"/>
  <c r="D324" i="1"/>
  <c r="E322" i="1"/>
  <c r="D322" i="1"/>
  <c r="E320" i="1"/>
  <c r="D320" i="1"/>
  <c r="E316" i="1"/>
  <c r="D316" i="1"/>
  <c r="E280" i="1"/>
  <c r="D280" i="1"/>
  <c r="E268" i="1"/>
  <c r="E267" i="1" s="1"/>
  <c r="D269" i="1"/>
  <c r="D268" i="1" s="1"/>
  <c r="D267" i="1" s="1"/>
  <c r="E257" i="1"/>
  <c r="D257" i="1"/>
  <c r="E255" i="1"/>
  <c r="D255" i="1"/>
  <c r="D171" i="1"/>
  <c r="E165" i="1"/>
  <c r="D165" i="1"/>
  <c r="E162" i="1"/>
  <c r="D162" i="1"/>
  <c r="E158" i="1"/>
  <c r="E96" i="1"/>
  <c r="D96" i="1"/>
  <c r="E65" i="1" l="1"/>
  <c r="E64" i="1" s="1"/>
  <c r="D32" i="1"/>
  <c r="D30" i="1"/>
  <c r="D86" i="1" l="1"/>
  <c r="D38" i="1" l="1"/>
  <c r="D42" i="1" l="1"/>
  <c r="E42" i="1" l="1"/>
  <c r="E116" i="1"/>
  <c r="E336" i="1"/>
  <c r="D336" i="1"/>
  <c r="E258" i="1" l="1"/>
  <c r="D258" i="1"/>
  <c r="E259" i="1"/>
  <c r="D259" i="1"/>
  <c r="E332" i="1" l="1"/>
  <c r="D332" i="1"/>
  <c r="D315" i="1"/>
  <c r="D271" i="1"/>
  <c r="D256" i="1"/>
  <c r="E247" i="1"/>
  <c r="E246" i="1" s="1"/>
  <c r="D247" i="1"/>
  <c r="D246" i="1" s="1"/>
  <c r="E226" i="1"/>
  <c r="D226" i="1"/>
  <c r="D221" i="1"/>
  <c r="E221" i="1"/>
  <c r="E199" i="1"/>
  <c r="D199" i="1"/>
  <c r="E193" i="1"/>
  <c r="D193" i="1"/>
  <c r="E153" i="1"/>
  <c r="D153" i="1"/>
  <c r="E150" i="1"/>
  <c r="D150" i="1"/>
  <c r="D140" i="1"/>
  <c r="E140" i="1"/>
  <c r="E128" i="1"/>
  <c r="E118" i="1"/>
  <c r="E117" i="1" s="1"/>
  <c r="D118" i="1"/>
  <c r="D117" i="1" s="1"/>
  <c r="D84" i="1"/>
  <c r="E77" i="1"/>
  <c r="D77" i="1"/>
  <c r="E68" i="1"/>
  <c r="D68" i="1"/>
  <c r="E35" i="1"/>
  <c r="D35" i="1"/>
  <c r="E172" i="1" l="1"/>
  <c r="D172" i="1"/>
  <c r="E331" i="1" l="1"/>
  <c r="D331" i="1"/>
  <c r="E315" i="1"/>
  <c r="E314" i="1" s="1"/>
  <c r="D310" i="1"/>
  <c r="E310" i="1"/>
  <c r="E309" i="1" s="1"/>
  <c r="E308" i="1" s="1"/>
  <c r="D306" i="1"/>
  <c r="E306" i="1"/>
  <c r="E305" i="1" s="1"/>
  <c r="D303" i="1"/>
  <c r="E303" i="1"/>
  <c r="E302" i="1" s="1"/>
  <c r="D299" i="1"/>
  <c r="E299" i="1"/>
  <c r="D297" i="1"/>
  <c r="E297" i="1"/>
  <c r="D293" i="1"/>
  <c r="E293" i="1"/>
  <c r="E292" i="1" s="1"/>
  <c r="D289" i="1"/>
  <c r="E289" i="1"/>
  <c r="E288" i="1" s="1"/>
  <c r="D284" i="1"/>
  <c r="E284" i="1"/>
  <c r="E283" i="1" s="1"/>
  <c r="D279" i="1"/>
  <c r="E279" i="1"/>
  <c r="E278" i="1" s="1"/>
  <c r="D275" i="1"/>
  <c r="E275" i="1"/>
  <c r="E271" i="1"/>
  <c r="D264" i="1"/>
  <c r="E264" i="1"/>
  <c r="D260" i="1"/>
  <c r="E260" i="1"/>
  <c r="E256" i="1"/>
  <c r="D254" i="1"/>
  <c r="E254" i="1"/>
  <c r="D250" i="1"/>
  <c r="D249" i="1" s="1"/>
  <c r="E250" i="1"/>
  <c r="E249" i="1" s="1"/>
  <c r="D239" i="1"/>
  <c r="E239" i="1"/>
  <c r="D235" i="1"/>
  <c r="E235" i="1"/>
  <c r="E234" i="1" s="1"/>
  <c r="E233" i="1" s="1"/>
  <c r="D230" i="1"/>
  <c r="E230" i="1"/>
  <c r="E229" i="1" s="1"/>
  <c r="E225" i="1"/>
  <c r="E220" i="1"/>
  <c r="D215" i="1"/>
  <c r="E215" i="1"/>
  <c r="E214" i="1" s="1"/>
  <c r="D207" i="1"/>
  <c r="E207" i="1"/>
  <c r="E206" i="1" s="1"/>
  <c r="E198" i="1"/>
  <c r="E192" i="1"/>
  <c r="D186" i="1"/>
  <c r="E186" i="1"/>
  <c r="D182" i="1"/>
  <c r="E182" i="1"/>
  <c r="E181" i="1" s="1"/>
  <c r="D179" i="1"/>
  <c r="E179" i="1"/>
  <c r="E178" i="1" s="1"/>
  <c r="E174" i="1"/>
  <c r="D170" i="1"/>
  <c r="D169" i="1" s="1"/>
  <c r="E170" i="1"/>
  <c r="E169" i="1" s="1"/>
  <c r="D161" i="1"/>
  <c r="D160" i="1" s="1"/>
  <c r="E161" i="1"/>
  <c r="E160" i="1" s="1"/>
  <c r="D157" i="1"/>
  <c r="E157" i="1"/>
  <c r="E156" i="1" s="1"/>
  <c r="D152" i="1"/>
  <c r="E152" i="1"/>
  <c r="D148" i="1"/>
  <c r="E148" i="1"/>
  <c r="D144" i="1"/>
  <c r="E144" i="1"/>
  <c r="D138" i="1"/>
  <c r="E138" i="1"/>
  <c r="E134" i="1"/>
  <c r="E122" i="1" s="1"/>
  <c r="D115" i="1"/>
  <c r="E115" i="1"/>
  <c r="E114" i="1" s="1"/>
  <c r="D109" i="1"/>
  <c r="E109" i="1"/>
  <c r="E108" i="1" s="1"/>
  <c r="D104" i="1"/>
  <c r="E104" i="1"/>
  <c r="E103" i="1" s="1"/>
  <c r="D100" i="1"/>
  <c r="E100" i="1"/>
  <c r="E99" i="1" s="1"/>
  <c r="D95" i="1"/>
  <c r="E95" i="1"/>
  <c r="E94" i="1" s="1"/>
  <c r="E91" i="1"/>
  <c r="E90" i="1" s="1"/>
  <c r="D91" i="1"/>
  <c r="E84" i="1"/>
  <c r="E83" i="1" s="1"/>
  <c r="D81" i="1"/>
  <c r="E81" i="1"/>
  <c r="D73" i="1"/>
  <c r="E73" i="1"/>
  <c r="D41" i="1"/>
  <c r="E41" i="1"/>
  <c r="E38" i="1"/>
  <c r="D29" i="1"/>
  <c r="E29" i="1"/>
  <c r="D143" i="1" l="1"/>
  <c r="E143" i="1"/>
  <c r="D314" i="1"/>
  <c r="D309" i="1"/>
  <c r="D305" i="1"/>
  <c r="D302" i="1"/>
  <c r="D292" i="1"/>
  <c r="D288" i="1"/>
  <c r="D283" i="1"/>
  <c r="D278" i="1"/>
  <c r="D270" i="1"/>
  <c r="D253" i="1"/>
  <c r="D238" i="1"/>
  <c r="D237" i="1" s="1"/>
  <c r="D234" i="1"/>
  <c r="D229" i="1"/>
  <c r="D225" i="1"/>
  <c r="D214" i="1"/>
  <c r="D206" i="1"/>
  <c r="D198" i="1"/>
  <c r="D192" i="1"/>
  <c r="D185" i="1"/>
  <c r="D181" i="1"/>
  <c r="D178" i="1"/>
  <c r="D174" i="1"/>
  <c r="D156" i="1"/>
  <c r="D114" i="1"/>
  <c r="D108" i="1"/>
  <c r="D103" i="1"/>
  <c r="D99" i="1"/>
  <c r="D94" i="1"/>
  <c r="D90" i="1"/>
  <c r="D83" i="1"/>
  <c r="D67" i="1"/>
  <c r="D28" i="1"/>
  <c r="D296" i="1"/>
  <c r="D76" i="1"/>
  <c r="D220" i="1"/>
  <c r="E301" i="1"/>
  <c r="E296" i="1"/>
  <c r="E295" i="1" s="1"/>
  <c r="E282" i="1"/>
  <c r="E270" i="1"/>
  <c r="E253" i="1"/>
  <c r="E238" i="1"/>
  <c r="E237" i="1" s="1"/>
  <c r="E213" i="1"/>
  <c r="E191" i="1"/>
  <c r="E185" i="1"/>
  <c r="E159" i="1" s="1"/>
  <c r="E76" i="1"/>
  <c r="E67" i="1"/>
  <c r="E28" i="1"/>
  <c r="D252" i="1" l="1"/>
  <c r="E252" i="1"/>
  <c r="E102" i="1"/>
  <c r="D282" i="1"/>
  <c r="D308" i="1"/>
  <c r="D301" i="1"/>
  <c r="D295" i="1"/>
  <c r="D233" i="1"/>
  <c r="D213" i="1"/>
  <c r="D191" i="1"/>
  <c r="D102" i="1"/>
  <c r="D159" i="1"/>
  <c r="D27" i="1"/>
  <c r="E27" i="1"/>
  <c r="E338" i="1" l="1"/>
  <c r="D338" i="1"/>
</calcChain>
</file>

<file path=xl/sharedStrings.xml><?xml version="1.0" encoding="utf-8"?>
<sst xmlns="http://schemas.openxmlformats.org/spreadsheetml/2006/main" count="649" uniqueCount="602">
  <si>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</si>
  <si>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</si>
  <si>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</si>
  <si>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</si>
  <si>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</si>
  <si>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</si>
  <si>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</si>
  <si>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</si>
  <si>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</si>
  <si>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</si>
  <si>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</si>
  <si>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</si>
  <si>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</si>
  <si>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</si>
  <si>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</si>
  <si>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</si>
  <si>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</si>
  <si>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</si>
  <si>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</si>
  <si>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</si>
  <si>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</si>
  <si>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</si>
  <si>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</si>
  <si>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</si>
  <si>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</si>
  <si>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</si>
  <si>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</si>
  <si>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</si>
  <si>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</si>
  <si>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</si>
  <si>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</si>
  <si>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</si>
  <si>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</si>
  <si>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</si>
  <si>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</si>
  <si>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</si>
  <si>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</si>
  <si>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</si>
  <si>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</si>
  <si>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</si>
  <si>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</si>
  <si>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</si>
  <si>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</si>
  <si>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</si>
  <si>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</si>
  <si>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</si>
  <si>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</si>
  <si>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</si>
  <si>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</si>
  <si>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</si>
  <si>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</si>
  <si>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</si>
  <si>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</si>
  <si>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</si>
  <si>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</si>
  <si>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</si>
  <si>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</si>
  <si>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</si>
  <si>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</si>
  <si>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</si>
  <si>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</si>
  <si>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</si>
  <si>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</si>
  <si>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</si>
  <si>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</si>
  <si>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</si>
  <si>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</si>
  <si>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</si>
  <si>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</si>
  <si>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</si>
  <si>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</si>
  <si>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</si>
  <si>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</si>
  <si>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</si>
  <si>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</si>
  <si>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</si>
  <si>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</si>
  <si>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</si>
  <si>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</si>
  <si>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</si>
  <si>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</si>
  <si>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</si>
  <si>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</si>
  <si>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</si>
  <si>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</si>
  <si>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</si>
  <si>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</si>
  <si>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</si>
  <si>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</si>
  <si>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</si>
  <si>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</si>
  <si>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</si>
  <si>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</si>
  <si>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</si>
  <si>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</si>
  <si>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</si>
  <si>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</si>
  <si>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</si>
  <si>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</si>
  <si>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</si>
  <si>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</si>
  <si>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</si>
  <si>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</si>
  <si>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</si>
  <si>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</si>
  <si>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</si>
  <si>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</si>
  <si>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</si>
  <si>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</si>
  <si>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</si>
  <si>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</si>
  <si>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</si>
  <si>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</si>
  <si>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</si>
  <si>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</si>
  <si>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</si>
  <si>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</si>
  <si>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</si>
  <si>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</si>
  <si>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</si>
  <si>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</si>
  <si>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</si>
  <si>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</si>
  <si>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</si>
  <si>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</si>
  <si>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</si>
  <si>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</si>
  <si>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</si>
  <si>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</si>
  <si>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</si>
  <si>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</si>
  <si>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</si>
  <si>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</si>
  <si>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</si>
  <si>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</si>
  <si>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</si>
  <si>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</si>
  <si>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</si>
  <si>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</si>
  <si>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</si>
  <si>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</si>
  <si>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</si>
  <si>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</si>
  <si>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</si>
  <si>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</si>
  <si>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</si>
  <si>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</si>
  <si>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</si>
  <si>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</si>
  <si>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</si>
  <si>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</si>
  <si>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</si>
  <si>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</si>
  <si>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</si>
  <si>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</si>
  <si>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</si>
  <si>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</si>
  <si>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</si>
  <si>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</si>
  <si>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</si>
  <si>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</si>
  <si>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</si>
  <si>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</si>
  <si>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</si>
  <si>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</si>
  <si>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</si>
  <si>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</si>
  <si>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</si>
  <si>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</si>
  <si>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</si>
  <si>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</si>
  <si>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</si>
  <si>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</si>
  <si>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</si>
  <si>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</si>
  <si>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</si>
  <si>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</si>
  <si>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</si>
  <si>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</si>
  <si>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</si>
  <si>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</si>
  <si>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</si>
  <si>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</si>
  <si>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</si>
  <si>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</si>
  <si>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</si>
  <si>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</si>
  <si>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</si>
  <si>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</si>
  <si>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</si>
  <si>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</si>
  <si>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</si>
  <si>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</si>
  <si>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</si>
  <si>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</si>
  <si>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</si>
  <si>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</si>
  <si>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</si>
  <si>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</si>
  <si>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</si>
  <si>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</si>
  <si>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</si>
  <si>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</si>
  <si>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</si>
  <si>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</si>
  <si>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</si>
  <si>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</si>
  <si>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</si>
  <si>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</si>
  <si>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</si>
  <si>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</si>
  <si>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</si>
  <si>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</si>
  <si>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</si>
  <si>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</si>
  <si>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</si>
  <si>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</si>
  <si>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</si>
  <si>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</si>
  <si>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</si>
  <si>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</si>
  <si>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</si>
  <si>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</si>
  <si>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</si>
  <si>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</si>
  <si>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</si>
  <si>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</si>
  <si>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</si>
  <si>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</si>
  <si>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</si>
  <si>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</si>
  <si>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</si>
  <si>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</si>
  <si>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</si>
  <si>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</si>
  <si>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</si>
  <si>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</si>
  <si>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</si>
  <si>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</si>
  <si>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</si>
  <si>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</si>
  <si>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</si>
  <si>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</si>
  <si>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</si>
  <si>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</si>
  <si>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</si>
  <si>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</si>
  <si>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</si>
  <si>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</si>
  <si>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</si>
  <si>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</si>
  <si>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</si>
  <si>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</si>
  <si>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</si>
  <si>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</si>
  <si>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</si>
  <si>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</si>
  <si>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</si>
  <si>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</si>
  <si>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</si>
  <si>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</si>
  <si>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</si>
  <si>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</si>
  <si>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</si>
  <si>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</si>
  <si>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</si>
  <si>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</si>
  <si>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</si>
  <si>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</si>
  <si>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</si>
  <si>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03 Д 04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</si>
  <si>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</si>
  <si>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</si>
  <si>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</si>
  <si>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</si>
  <si>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</si>
  <si>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</si>
  <si>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</si>
  <si>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</si>
  <si>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</si>
  <si>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</si>
  <si>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</si>
  <si>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</si>
  <si>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</si>
  <si>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</si>
  <si>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</si>
  <si>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</si>
  <si>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</si>
  <si>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</si>
  <si>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</si>
  <si>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</si>
  <si>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</si>
  <si>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</si>
  <si>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</si>
  <si>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</si>
  <si>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</si>
  <si>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</si>
  <si>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</si>
  <si>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</si>
  <si>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</si>
  <si>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</si>
  <si>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</si>
  <si>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</si>
  <si>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</si>
  <si>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</si>
  <si>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</si>
  <si>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</si>
  <si>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</si>
  <si>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</si>
  <si>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</si>
  <si>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</si>
  <si>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</si>
  <si>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</si>
  <si>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</si>
  <si>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</si>
  <si>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</si>
  <si>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</si>
  <si>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</si>
  <si>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</si>
  <si>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</si>
  <si>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</si>
  <si>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</si>
  <si>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</si>
  <si>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</si>
  <si>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</si>
  <si>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</si>
  <si>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</si>
  <si>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</si>
  <si>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</si>
  <si>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</si>
  <si>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</si>
  <si>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</si>
  <si>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</si>
  <si>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</si>
  <si>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</si>
  <si>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</si>
  <si>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</si>
  <si>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</si>
  <si>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</si>
  <si>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</si>
  <si>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</si>
  <si>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</si>
  <si>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</si>
  <si>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</si>
  <si>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</si>
  <si>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</si>
  <si>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</si>
  <si>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</si>
  <si>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</si>
  <si>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</si>
  <si>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</si>
  <si>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</si>
  <si>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</si>
  <si>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</si>
  <si>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</si>
  <si>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</si>
  <si>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</si>
  <si>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</si>
  <si>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</si>
  <si>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</si>
  <si>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</si>
  <si>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</si>
  <si>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</si>
  <si>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</si>
  <si>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</si>
  <si>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</si>
  <si>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</si>
  <si>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</si>
  <si>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</si>
  <si>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</si>
  <si>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</si>
  <si>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</si>
  <si>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</si>
  <si>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</si>
  <si>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</si>
  <si>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</si>
  <si>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</si>
  <si>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</si>
  <si>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</si>
  <si>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</si>
  <si>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</si>
  <si>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</si>
  <si>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</si>
  <si>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</si>
  <si>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</si>
  <si>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</si>
  <si>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</si>
  <si>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</si>
  <si>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</si>
  <si>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</si>
  <si>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</si>
  <si>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</si>
  <si>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</si>
  <si>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</si>
  <si>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</si>
  <si>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</si>
  <si>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</si>
  <si>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</si>
  <si>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</si>
  <si>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</si>
  <si>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</si>
  <si>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</si>
  <si>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</si>
  <si>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</si>
  <si>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</si>
  <si>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</si>
  <si>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</si>
  <si>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</si>
  <si>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</si>
  <si>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</si>
  <si>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</si>
  <si>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</si>
  <si>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</si>
  <si>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</si>
  <si>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</si>
  <si>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</si>
  <si>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</si>
  <si>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</si>
  <si>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</si>
  <si>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</si>
  <si>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</si>
  <si>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</si>
  <si>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</si>
  <si>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</si>
  <si>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</si>
  <si>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</si>
  <si>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</si>
  <si>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</si>
  <si>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</si>
  <si>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</si>
  <si>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</si>
  <si>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</si>
  <si>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</si>
  <si>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</si>
  <si>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</si>
  <si>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</si>
  <si>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</si>
  <si>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</si>
  <si>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</si>
  <si>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</si>
  <si>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</si>
  <si>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</si>
  <si>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</si>
  <si>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</si>
  <si>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</si>
  <si>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</si>
  <si>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</si>
  <si>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</si>
  <si>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</si>
  <si>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</si>
  <si>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</si>
  <si>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</si>
  <si>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</si>
  <si>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</si>
  <si>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</si>
  <si>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</si>
  <si>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</si>
  <si>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</si>
  <si>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</si>
  <si>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</si>
  <si>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</si>
  <si>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</si>
  <si>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</si>
  <si>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</si>
  <si>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</si>
  <si>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</si>
  <si>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</si>
  <si>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</si>
  <si>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</si>
  <si>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</si>
  <si>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</si>
  <si>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</si>
  <si>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</si>
  <si>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</si>
  <si>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</si>
  <si>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</si>
  <si>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</si>
  <si>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</si>
  <si>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</si>
  <si>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</si>
  <si>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</si>
  <si>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</si>
  <si>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</si>
  <si>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</si>
  <si>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</si>
  <si>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</si>
  <si>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</si>
  <si>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</si>
  <si>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</si>
  <si>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</si>
  <si>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</si>
  <si>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</si>
  <si>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</si>
  <si>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2024 год</t>
  </si>
  <si>
    <t>Подпрограмма "Водохозяйственные мероприятия на оз. Вазаль Южского муниципального района"</t>
  </si>
  <si>
    <t>02 8 00 00000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</si>
  <si>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</si>
  <si>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</si>
  <si>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</si>
  <si>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</si>
  <si>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</si>
  <si>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</si>
  <si>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</si>
  <si>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</si>
  <si>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S1420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</si>
  <si>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</si>
  <si>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</si>
  <si>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</si>
  <si>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</si>
  <si>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</si>
  <si>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</si>
  <si>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</si>
  <si>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</si>
  <si>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</si>
  <si>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</si>
  <si>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</si>
  <si>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</si>
  <si>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</si>
  <si>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</si>
  <si>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</si>
  <si>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</si>
  <si>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</si>
  <si>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</si>
  <si>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</si>
  <si>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</si>
  <si>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</si>
  <si>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</si>
  <si>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</si>
  <si>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</si>
  <si>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</si>
  <si>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</si>
  <si>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</si>
  <si>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</si>
  <si>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</si>
  <si>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</si>
  <si>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</si>
  <si>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</si>
  <si>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07 2 00 00000</t>
  </si>
  <si>
    <t>07 2 01 00000</t>
  </si>
  <si>
    <t>07 2 01 23380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</si>
  <si>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</si>
  <si>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</si>
  <si>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</si>
  <si>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</si>
  <si>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</si>
  <si>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2023 и 2024 годов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</si>
  <si>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</si>
  <si>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</si>
  <si>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</si>
  <si>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</si>
  <si>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</si>
  <si>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</si>
  <si>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</si>
  <si>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</si>
  <si>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</si>
  <si>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</si>
  <si>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</si>
  <si>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</si>
  <si>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02 1 03 10190 </t>
  </si>
  <si>
    <t xml:space="preserve">05 3 01 25000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</si>
  <si>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</si>
  <si>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</si>
  <si>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</si>
  <si>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</si>
  <si>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</si>
  <si>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</si>
  <si>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</si>
  <si>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</si>
  <si>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</si>
  <si>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от 23.12.2021 №  115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</si>
  <si>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</si>
  <si>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30 9 00 10011</t>
  </si>
  <si>
    <t>"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</si>
  <si>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</si>
  <si>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</si>
  <si>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</si>
  <si>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</si>
  <si>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</si>
  <si>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</si>
  <si>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</si>
  <si>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</si>
  <si>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</si>
  <si>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</si>
  <si>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</si>
  <si>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</si>
  <si>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01 23820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</si>
  <si>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</si>
  <si>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</si>
  <si>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Приложение № 5</t>
  </si>
  <si>
    <t>02 Д 02 00000</t>
  </si>
  <si>
    <t>02 Д 02 25230</t>
  </si>
  <si>
    <t>Основное мероприятие "Организация в границах поселений теплоснабжения населения"</t>
  </si>
  <si>
    <t xml:space="preserve">Приобретение материалов для ремонта системы теплоснабжения -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 </t>
  </si>
  <si>
    <t>02 Д 03 25240</t>
  </si>
  <si>
    <t xml:space="preserve"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</si>
  <si>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>02 Д 03 25250</t>
  </si>
  <si>
    <t xml:space="preserve"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 </t>
  </si>
  <si>
    <t>02 Д 04 25260</t>
  </si>
  <si>
    <t xml:space="preserve">Приобретение материалов для ремонта системы водоотведения -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</si>
  <si>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>02 Д 04 25270</t>
  </si>
  <si>
    <t xml:space="preserve">Приобретение материалов для ремонта системы водоотведения -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</si>
  <si>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от 21.10.2022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</si>
</sst>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56"/>
  <sheetViews>
    <sheetView tabSelected="1" zoomScale="90" zoomScaleNormal="90" workbookViewId="0">
      <selection activeCell="C5" sqref="C5:E5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28515625" style="1" customWidth="1"/>
    <col min="6" max="16384" width="9.140625" style="1"/>
  </cols>
  <sheetData>
    <row r="1" spans="3:5" x14ac:dyDescent="0.3">
      <c r="C1" s="36" t="s">
        <v>588</v>
      </c>
      <c r="D1" s="36"/>
      <c r="E1" s="36"/>
    </row>
    <row r="2" spans="3:5" x14ac:dyDescent="0.3">
      <c r="C2" s="36" t="s">
        <v>550</v>
      </c>
      <c r="D2" s="36"/>
      <c r="E2" s="36"/>
    </row>
    <row r="3" spans="3:5" x14ac:dyDescent="0.3">
      <c r="C3" s="36" t="s">
        <v>551</v>
      </c>
      <c r="D3" s="36"/>
      <c r="E3" s="36"/>
    </row>
    <row r="4" spans="3:5" x14ac:dyDescent="0.3">
      <c r="C4" s="36" t="s">
        <v>573</v>
      </c>
      <c r="D4" s="36"/>
      <c r="E4" s="36"/>
    </row>
    <row r="5" spans="3:5" x14ac:dyDescent="0.3">
      <c r="C5" s="36" t="s">
        <v>574</v>
      </c>
      <c r="D5" s="36"/>
      <c r="E5" s="36"/>
    </row>
    <row r="6" spans="3:5" x14ac:dyDescent="0.3">
      <c r="C6" s="36" t="s">
        <v>551</v>
      </c>
      <c r="D6" s="36"/>
      <c r="E6" s="36"/>
    </row>
    <row r="7" spans="3:5" x14ac:dyDescent="0.3">
      <c r="C7" s="36" t="s">
        <v>575</v>
      </c>
      <c r="D7" s="36"/>
      <c r="E7" s="36"/>
    </row>
    <row r="8" spans="3:5" x14ac:dyDescent="0.3">
      <c r="C8" s="36" t="s">
        <v>576</v>
      </c>
      <c r="D8" s="36"/>
      <c r="E8" s="36"/>
    </row>
    <row r="9" spans="3:5" x14ac:dyDescent="0.3">
      <c r="C9" s="36" t="s">
        <v>553</v>
      </c>
      <c r="D9" s="36"/>
      <c r="E9" s="36"/>
    </row>
    <row r="10" spans="3:5" x14ac:dyDescent="0.3">
      <c r="C10" s="36" t="s">
        <v>577</v>
      </c>
      <c r="D10" s="36"/>
      <c r="E10" s="36"/>
    </row>
    <row r="11" spans="3:5" x14ac:dyDescent="0.3">
      <c r="C11" s="45" t="s">
        <v>601</v>
      </c>
      <c r="D11" s="36"/>
      <c r="E11" s="36"/>
    </row>
    <row r="13" spans="3:5" x14ac:dyDescent="0.3">
      <c r="C13" s="36" t="s">
        <v>578</v>
      </c>
      <c r="D13" s="36"/>
      <c r="E13" s="36"/>
    </row>
    <row r="14" spans="3:5" x14ac:dyDescent="0.3">
      <c r="C14" s="36" t="s">
        <v>550</v>
      </c>
      <c r="D14" s="36"/>
      <c r="E14" s="36"/>
    </row>
    <row r="15" spans="3:5" x14ac:dyDescent="0.3">
      <c r="C15" s="36" t="s">
        <v>551</v>
      </c>
      <c r="D15" s="36"/>
      <c r="E15" s="36"/>
    </row>
    <row r="16" spans="3:5" x14ac:dyDescent="0.3">
      <c r="C16" s="36" t="s">
        <v>552</v>
      </c>
      <c r="D16" s="36"/>
      <c r="E16" s="36"/>
    </row>
    <row r="17" spans="1:5" x14ac:dyDescent="0.3">
      <c r="C17" s="36" t="s">
        <v>551</v>
      </c>
      <c r="D17" s="36"/>
      <c r="E17" s="36"/>
    </row>
    <row r="18" spans="1:5" x14ac:dyDescent="0.3">
      <c r="C18" s="36" t="s">
        <v>553</v>
      </c>
      <c r="D18" s="36"/>
      <c r="E18" s="36"/>
    </row>
    <row r="19" spans="1:5" x14ac:dyDescent="0.3">
      <c r="C19" s="36" t="s">
        <v>554</v>
      </c>
      <c r="D19" s="36"/>
      <c r="E19" s="36"/>
    </row>
    <row r="20" spans="1:5" x14ac:dyDescent="0.3">
      <c r="C20" s="36" t="s">
        <v>569</v>
      </c>
      <c r="D20" s="36"/>
      <c r="E20" s="36"/>
    </row>
    <row r="22" spans="1:5" ht="102" customHeight="1" x14ac:dyDescent="0.3">
      <c r="A22" s="41" t="s">
        <v>545</v>
      </c>
      <c r="B22" s="41"/>
      <c r="C22" s="41"/>
      <c r="D22" s="41"/>
      <c r="E22" s="41"/>
    </row>
    <row r="23" spans="1:5" ht="24" customHeight="1" x14ac:dyDescent="0.3">
      <c r="A23" s="42"/>
      <c r="B23" s="42"/>
      <c r="C23" s="42"/>
    </row>
    <row r="24" spans="1:5" ht="18.75" customHeight="1" x14ac:dyDescent="0.3">
      <c r="A24" s="43" t="s">
        <v>132</v>
      </c>
      <c r="B24" s="43" t="s">
        <v>133</v>
      </c>
      <c r="C24" s="43" t="s">
        <v>134</v>
      </c>
      <c r="D24" s="37" t="s">
        <v>460</v>
      </c>
      <c r="E24" s="39" t="s">
        <v>493</v>
      </c>
    </row>
    <row r="25" spans="1:5" ht="83.25" customHeight="1" x14ac:dyDescent="0.3">
      <c r="A25" s="44"/>
      <c r="B25" s="44"/>
      <c r="C25" s="44"/>
      <c r="D25" s="38"/>
      <c r="E25" s="40"/>
    </row>
    <row r="26" spans="1:5" x14ac:dyDescent="0.3">
      <c r="A26" s="15">
        <v>1</v>
      </c>
      <c r="B26" s="15">
        <v>2</v>
      </c>
      <c r="C26" s="15">
        <v>3</v>
      </c>
      <c r="D26" s="31">
        <v>4</v>
      </c>
      <c r="E26" s="31">
        <v>5</v>
      </c>
    </row>
    <row r="27" spans="1:5" s="4" customFormat="1" ht="69" customHeight="1" x14ac:dyDescent="0.3">
      <c r="A27" s="16" t="s">
        <v>174</v>
      </c>
      <c r="B27" s="17" t="s">
        <v>0</v>
      </c>
      <c r="C27" s="17"/>
      <c r="D27" s="13">
        <f>D28+D41+D67+D76+D83+D90+D94+D99</f>
        <v>219618636.98999998</v>
      </c>
      <c r="E27" s="13">
        <f>E28+E41+E67+E76+E83+E90+E94+E99</f>
        <v>217692387.70999998</v>
      </c>
    </row>
    <row r="28" spans="1:5" s="4" customFormat="1" ht="93.75" x14ac:dyDescent="0.3">
      <c r="A28" s="16" t="s">
        <v>175</v>
      </c>
      <c r="B28" s="17" t="s">
        <v>1</v>
      </c>
      <c r="C28" s="17"/>
      <c r="D28" s="13">
        <f t="shared" ref="D28:E28" si="0">D29+D35+D38</f>
        <v>69764535.689999998</v>
      </c>
      <c r="E28" s="13">
        <f t="shared" si="0"/>
        <v>67485103.090000004</v>
      </c>
    </row>
    <row r="29" spans="1:5" s="3" customFormat="1" ht="54" customHeight="1" x14ac:dyDescent="0.3">
      <c r="A29" s="18" t="s">
        <v>176</v>
      </c>
      <c r="B29" s="19" t="s">
        <v>2</v>
      </c>
      <c r="C29" s="19"/>
      <c r="D29" s="14">
        <f t="shared" ref="D29:E29" si="1">SUM(D30:D34)</f>
        <v>67708098.480000004</v>
      </c>
      <c r="E29" s="14">
        <f t="shared" si="1"/>
        <v>64925835.93</v>
      </c>
    </row>
    <row r="30" spans="1:5" ht="162.75" customHeight="1" x14ac:dyDescent="0.3">
      <c r="A30" s="20" t="s">
        <v>177</v>
      </c>
      <c r="B30" s="12" t="s">
        <v>3</v>
      </c>
      <c r="C30" s="12">
        <v>100</v>
      </c>
      <c r="D30" s="33">
        <f>999311.04+85775.76</f>
        <v>1085086.8</v>
      </c>
      <c r="E30" s="33">
        <v>999311.04</v>
      </c>
    </row>
    <row r="31" spans="1:5" ht="127.5" customHeight="1" x14ac:dyDescent="0.3">
      <c r="A31" s="11" t="s">
        <v>178</v>
      </c>
      <c r="B31" s="12" t="s">
        <v>3</v>
      </c>
      <c r="C31" s="12">
        <v>200</v>
      </c>
      <c r="D31" s="33">
        <v>366700</v>
      </c>
      <c r="E31" s="33">
        <v>366700</v>
      </c>
    </row>
    <row r="32" spans="1:5" ht="120.75" customHeight="1" x14ac:dyDescent="0.3">
      <c r="A32" s="20" t="s">
        <v>179</v>
      </c>
      <c r="B32" s="12" t="s">
        <v>3</v>
      </c>
      <c r="C32" s="12">
        <v>600</v>
      </c>
      <c r="D32" s="33">
        <f>22080849.89+2696486.79</f>
        <v>24777336.68</v>
      </c>
      <c r="E32" s="33">
        <v>22080849.890000001</v>
      </c>
    </row>
    <row r="33" spans="1:5" ht="102" customHeight="1" x14ac:dyDescent="0.3">
      <c r="A33" s="20" t="s">
        <v>415</v>
      </c>
      <c r="B33" s="12" t="s">
        <v>4</v>
      </c>
      <c r="C33" s="12">
        <v>600</v>
      </c>
      <c r="D33" s="33">
        <v>30000</v>
      </c>
      <c r="E33" s="33">
        <v>30000</v>
      </c>
    </row>
    <row r="34" spans="1:5" ht="189.75" customHeight="1" x14ac:dyDescent="0.3">
      <c r="A34" s="20" t="s">
        <v>441</v>
      </c>
      <c r="B34" s="12" t="s">
        <v>397</v>
      </c>
      <c r="C34" s="12">
        <v>600</v>
      </c>
      <c r="D34" s="33">
        <v>41448975</v>
      </c>
      <c r="E34" s="33">
        <v>41448975</v>
      </c>
    </row>
    <row r="35" spans="1:5" s="3" customFormat="1" ht="49.5" customHeight="1" x14ac:dyDescent="0.3">
      <c r="A35" s="18" t="s">
        <v>5</v>
      </c>
      <c r="B35" s="19" t="s">
        <v>164</v>
      </c>
      <c r="C35" s="19"/>
      <c r="D35" s="14">
        <f>SUM(D36:D37)</f>
        <v>797370.05</v>
      </c>
      <c r="E35" s="14">
        <f>SUM(E36:E37)</f>
        <v>1300200</v>
      </c>
    </row>
    <row r="36" spans="1:5" ht="93" customHeight="1" x14ac:dyDescent="0.3">
      <c r="A36" s="20" t="s">
        <v>144</v>
      </c>
      <c r="B36" s="12" t="s">
        <v>6</v>
      </c>
      <c r="C36" s="12">
        <v>600</v>
      </c>
      <c r="D36" s="33">
        <v>490200</v>
      </c>
      <c r="E36" s="33">
        <v>490200</v>
      </c>
    </row>
    <row r="37" spans="1:5" ht="93" customHeight="1" x14ac:dyDescent="0.3">
      <c r="A37" s="20" t="s">
        <v>506</v>
      </c>
      <c r="B37" s="12" t="s">
        <v>505</v>
      </c>
      <c r="C37" s="12">
        <v>600</v>
      </c>
      <c r="D37" s="33">
        <f>810000-502829.95</f>
        <v>307170.05</v>
      </c>
      <c r="E37" s="33">
        <v>810000</v>
      </c>
    </row>
    <row r="38" spans="1:5" s="3" customFormat="1" ht="68.25" customHeight="1" x14ac:dyDescent="0.3">
      <c r="A38" s="18" t="s">
        <v>180</v>
      </c>
      <c r="B38" s="19" t="s">
        <v>7</v>
      </c>
      <c r="C38" s="19"/>
      <c r="D38" s="14">
        <f>SUM(D39:D40)</f>
        <v>1259067.1600000001</v>
      </c>
      <c r="E38" s="14">
        <f>SUM(E39:E40)</f>
        <v>1259067.1600000001</v>
      </c>
    </row>
    <row r="39" spans="1:5" ht="206.25" x14ac:dyDescent="0.3">
      <c r="A39" s="20" t="s">
        <v>165</v>
      </c>
      <c r="B39" s="12" t="s">
        <v>8</v>
      </c>
      <c r="C39" s="12">
        <v>600</v>
      </c>
      <c r="D39" s="33">
        <v>506857</v>
      </c>
      <c r="E39" s="33">
        <v>506857</v>
      </c>
    </row>
    <row r="40" spans="1:5" ht="153" customHeight="1" x14ac:dyDescent="0.3">
      <c r="A40" s="20" t="s">
        <v>181</v>
      </c>
      <c r="B40" s="12" t="s">
        <v>9</v>
      </c>
      <c r="C40" s="12">
        <v>300</v>
      </c>
      <c r="D40" s="33">
        <v>752210.16</v>
      </c>
      <c r="E40" s="33">
        <v>752210.16</v>
      </c>
    </row>
    <row r="41" spans="1:5" s="4" customFormat="1" ht="105.75" customHeight="1" x14ac:dyDescent="0.3">
      <c r="A41" s="16" t="s">
        <v>182</v>
      </c>
      <c r="B41" s="17" t="s">
        <v>10</v>
      </c>
      <c r="C41" s="17"/>
      <c r="D41" s="13">
        <f>D42+D52+D64</f>
        <v>129814498.44</v>
      </c>
      <c r="E41" s="13">
        <f>E42+E52+E64</f>
        <v>130167681.75999999</v>
      </c>
    </row>
    <row r="42" spans="1:5" s="3" customFormat="1" ht="48" customHeight="1" x14ac:dyDescent="0.3">
      <c r="A42" s="18" t="s">
        <v>183</v>
      </c>
      <c r="B42" s="19" t="s">
        <v>11</v>
      </c>
      <c r="C42" s="19"/>
      <c r="D42" s="14">
        <f>SUM(D43:D51)</f>
        <v>115254526.17</v>
      </c>
      <c r="E42" s="14">
        <f>SUM(E43:E51)</f>
        <v>112715180.16</v>
      </c>
    </row>
    <row r="43" spans="1:5" ht="168.75" x14ac:dyDescent="0.3">
      <c r="A43" s="20" t="s">
        <v>184</v>
      </c>
      <c r="B43" s="12" t="s">
        <v>12</v>
      </c>
      <c r="C43" s="12">
        <v>100</v>
      </c>
      <c r="D43" s="33">
        <f>5656741.73+928069.35-454845.88</f>
        <v>6129965.2000000002</v>
      </c>
      <c r="E43" s="33">
        <f>5656741.73-454845.88</f>
        <v>5201895.8500000006</v>
      </c>
    </row>
    <row r="44" spans="1:5" ht="132.75" customHeight="1" x14ac:dyDescent="0.3">
      <c r="A44" s="20" t="s">
        <v>185</v>
      </c>
      <c r="B44" s="12" t="s">
        <v>12</v>
      </c>
      <c r="C44" s="12">
        <v>200</v>
      </c>
      <c r="D44" s="33">
        <f>11392100-500832.98-29.71-2017900</f>
        <v>8873337.3099999987</v>
      </c>
      <c r="E44" s="33">
        <f>11392100-1040864.95-524370.44-63.96-1957900</f>
        <v>7868900.6500000004</v>
      </c>
    </row>
    <row r="45" spans="1:5" ht="131.25" x14ac:dyDescent="0.3">
      <c r="A45" s="20" t="s">
        <v>145</v>
      </c>
      <c r="B45" s="12" t="s">
        <v>12</v>
      </c>
      <c r="C45" s="12">
        <v>600</v>
      </c>
      <c r="D45" s="33">
        <f>7187487.72+651932.06+2486345.88</f>
        <v>10325765.66</v>
      </c>
      <c r="E45" s="33">
        <f>7187487.72+651932.06+2426345.88</f>
        <v>10265765.66</v>
      </c>
    </row>
    <row r="46" spans="1:5" ht="123" customHeight="1" x14ac:dyDescent="0.3">
      <c r="A46" s="20" t="s">
        <v>186</v>
      </c>
      <c r="B46" s="12" t="s">
        <v>12</v>
      </c>
      <c r="C46" s="12">
        <v>800</v>
      </c>
      <c r="D46" s="33">
        <f>289900-13600</f>
        <v>276300</v>
      </c>
      <c r="E46" s="33">
        <f>289900-13600</f>
        <v>276300</v>
      </c>
    </row>
    <row r="47" spans="1:5" ht="204" customHeight="1" x14ac:dyDescent="0.3">
      <c r="A47" s="20" t="s">
        <v>567</v>
      </c>
      <c r="B47" s="30" t="s">
        <v>459</v>
      </c>
      <c r="C47" s="12">
        <v>100</v>
      </c>
      <c r="D47" s="33">
        <f>4452840+312480-1171800</f>
        <v>3593520</v>
      </c>
      <c r="E47" s="33">
        <f>4218480-1093680</f>
        <v>3124800</v>
      </c>
    </row>
    <row r="48" spans="1:5" ht="174" customHeight="1" x14ac:dyDescent="0.3">
      <c r="A48" s="20" t="s">
        <v>566</v>
      </c>
      <c r="B48" s="30" t="s">
        <v>459</v>
      </c>
      <c r="C48" s="12">
        <v>600</v>
      </c>
      <c r="D48" s="33">
        <f>3984120-78120+1171800</f>
        <v>5077800</v>
      </c>
      <c r="E48" s="33">
        <f>3906000+1093680</f>
        <v>4999680</v>
      </c>
    </row>
    <row r="49" spans="1:5" ht="279" customHeight="1" x14ac:dyDescent="0.3">
      <c r="A49" s="20" t="s">
        <v>546</v>
      </c>
      <c r="B49" s="30" t="s">
        <v>547</v>
      </c>
      <c r="C49" s="12">
        <v>100</v>
      </c>
      <c r="D49" s="33">
        <f>41030406.5-10301409</f>
        <v>30728997.5</v>
      </c>
      <c r="E49" s="33">
        <f>41030406.5-10301409</f>
        <v>30728997.5</v>
      </c>
    </row>
    <row r="50" spans="1:5" ht="243.75" customHeight="1" x14ac:dyDescent="0.3">
      <c r="A50" s="20" t="s">
        <v>548</v>
      </c>
      <c r="B50" s="30" t="s">
        <v>547</v>
      </c>
      <c r="C50" s="12">
        <v>200</v>
      </c>
      <c r="D50" s="33">
        <f>829642-367200</f>
        <v>462442</v>
      </c>
      <c r="E50" s="33">
        <f>829642-367200</f>
        <v>462442</v>
      </c>
    </row>
    <row r="51" spans="1:5" ht="243.75" customHeight="1" x14ac:dyDescent="0.3">
      <c r="A51" s="20" t="s">
        <v>549</v>
      </c>
      <c r="B51" s="30" t="s">
        <v>547</v>
      </c>
      <c r="C51" s="12">
        <v>600</v>
      </c>
      <c r="D51" s="33">
        <f>39117789.5+10668609</f>
        <v>49786398.5</v>
      </c>
      <c r="E51" s="33">
        <f>39117789.5+10668609</f>
        <v>49786398.5</v>
      </c>
    </row>
    <row r="52" spans="1:5" s="3" customFormat="1" ht="53.25" customHeight="1" x14ac:dyDescent="0.3">
      <c r="A52" s="18" t="s">
        <v>350</v>
      </c>
      <c r="B52" s="19" t="s">
        <v>13</v>
      </c>
      <c r="C52" s="19"/>
      <c r="D52" s="14">
        <f>SUM(D53:D63)</f>
        <v>14559972.27</v>
      </c>
      <c r="E52" s="14">
        <f>SUM(E53:E63)</f>
        <v>14782171.27</v>
      </c>
    </row>
    <row r="53" spans="1:5" ht="75" x14ac:dyDescent="0.3">
      <c r="A53" s="20" t="s">
        <v>146</v>
      </c>
      <c r="B53" s="12" t="s">
        <v>14</v>
      </c>
      <c r="C53" s="12">
        <v>600</v>
      </c>
      <c r="D53" s="33">
        <v>3676786.16</v>
      </c>
      <c r="E53" s="33">
        <v>3676786.16</v>
      </c>
    </row>
    <row r="54" spans="1:5" ht="85.5" customHeight="1" x14ac:dyDescent="0.3">
      <c r="A54" s="20" t="s">
        <v>152</v>
      </c>
      <c r="B54" s="12" t="s">
        <v>15</v>
      </c>
      <c r="C54" s="12">
        <v>200</v>
      </c>
      <c r="D54" s="33">
        <f>553200-110000</f>
        <v>443200</v>
      </c>
      <c r="E54" s="33">
        <f>553200-110000</f>
        <v>443200</v>
      </c>
    </row>
    <row r="55" spans="1:5" ht="102.75" customHeight="1" x14ac:dyDescent="0.3">
      <c r="A55" s="20" t="s">
        <v>147</v>
      </c>
      <c r="B55" s="12" t="s">
        <v>15</v>
      </c>
      <c r="C55" s="12">
        <v>600</v>
      </c>
      <c r="D55" s="33">
        <f>305000+110000</f>
        <v>415000</v>
      </c>
      <c r="E55" s="33">
        <f>305000+110000</f>
        <v>415000</v>
      </c>
    </row>
    <row r="56" spans="1:5" ht="102.75" customHeight="1" x14ac:dyDescent="0.3">
      <c r="A56" s="11" t="s">
        <v>507</v>
      </c>
      <c r="B56" s="12" t="s">
        <v>433</v>
      </c>
      <c r="C56" s="12">
        <v>200</v>
      </c>
      <c r="D56" s="33">
        <f>260000-91500</f>
        <v>168500</v>
      </c>
      <c r="E56" s="33">
        <f>260000-91500</f>
        <v>168500</v>
      </c>
    </row>
    <row r="57" spans="1:5" ht="105" customHeight="1" x14ac:dyDescent="0.3">
      <c r="A57" s="11" t="s">
        <v>445</v>
      </c>
      <c r="B57" s="12" t="s">
        <v>433</v>
      </c>
      <c r="C57" s="12">
        <v>600</v>
      </c>
      <c r="D57" s="33">
        <f>553122.17+91500</f>
        <v>644622.17000000004</v>
      </c>
      <c r="E57" s="33">
        <f>553122.17+91500</f>
        <v>644622.17000000004</v>
      </c>
    </row>
    <row r="58" spans="1:5" ht="105" customHeight="1" x14ac:dyDescent="0.3">
      <c r="A58" s="11" t="s">
        <v>509</v>
      </c>
      <c r="B58" s="12" t="s">
        <v>508</v>
      </c>
      <c r="C58" s="12">
        <v>200</v>
      </c>
      <c r="D58" s="33">
        <f>120000-120000</f>
        <v>0</v>
      </c>
      <c r="E58" s="33">
        <f>120000-120000</f>
        <v>0</v>
      </c>
    </row>
    <row r="59" spans="1:5" ht="105" customHeight="1" x14ac:dyDescent="0.3">
      <c r="A59" s="11" t="s">
        <v>510</v>
      </c>
      <c r="B59" s="12" t="s">
        <v>508</v>
      </c>
      <c r="C59" s="12">
        <v>600</v>
      </c>
      <c r="D59" s="33">
        <f>710000+120000</f>
        <v>830000</v>
      </c>
      <c r="E59" s="33">
        <f>710000+120000</f>
        <v>830000</v>
      </c>
    </row>
    <row r="60" spans="1:5" ht="135.75" customHeight="1" x14ac:dyDescent="0.3">
      <c r="A60" s="11" t="s">
        <v>512</v>
      </c>
      <c r="B60" s="12" t="s">
        <v>511</v>
      </c>
      <c r="C60" s="12">
        <v>200</v>
      </c>
      <c r="D60" s="33">
        <f>94171-75000</f>
        <v>19171</v>
      </c>
      <c r="E60" s="33">
        <f>94171-75000</f>
        <v>19171</v>
      </c>
    </row>
    <row r="61" spans="1:5" ht="132.75" customHeight="1" x14ac:dyDescent="0.3">
      <c r="A61" s="11" t="s">
        <v>513</v>
      </c>
      <c r="B61" s="12" t="s">
        <v>511</v>
      </c>
      <c r="C61" s="12">
        <v>600</v>
      </c>
      <c r="D61" s="33">
        <f>376684+75000</f>
        <v>451684</v>
      </c>
      <c r="E61" s="33">
        <f>376684+75000</f>
        <v>451684</v>
      </c>
    </row>
    <row r="62" spans="1:5" ht="161.25" customHeight="1" x14ac:dyDescent="0.3">
      <c r="A62" s="11" t="s">
        <v>579</v>
      </c>
      <c r="B62" s="12" t="s">
        <v>475</v>
      </c>
      <c r="C62" s="12">
        <v>200</v>
      </c>
      <c r="D62" s="33">
        <f>3031436.7+2143.44+59980.2+42.41-2196792.29</f>
        <v>896810.46000000043</v>
      </c>
      <c r="E62" s="33">
        <f>2143.44+3178246.5+103.81-2258494.29</f>
        <v>921999.46</v>
      </c>
    </row>
    <row r="63" spans="1:5" ht="171.75" customHeight="1" x14ac:dyDescent="0.3">
      <c r="A63" s="11" t="s">
        <v>580</v>
      </c>
      <c r="B63" s="12" t="s">
        <v>475</v>
      </c>
      <c r="C63" s="12">
        <v>600</v>
      </c>
      <c r="D63" s="33">
        <f>4766306.1+3370.12+47696.25+4.01+29.71+2196792.29</f>
        <v>7014198.4799999995</v>
      </c>
      <c r="E63" s="33">
        <f>3370.12+4949214.75+65.36+63.96+2258494.29</f>
        <v>7211208.4800000004</v>
      </c>
    </row>
    <row r="64" spans="1:5" ht="42" customHeight="1" x14ac:dyDescent="0.3">
      <c r="A64" s="21" t="s">
        <v>448</v>
      </c>
      <c r="B64" s="19" t="s">
        <v>449</v>
      </c>
      <c r="C64" s="19"/>
      <c r="D64" s="14">
        <f>D65</f>
        <v>0</v>
      </c>
      <c r="E64" s="14">
        <f>E65</f>
        <v>2670330.33</v>
      </c>
    </row>
    <row r="65" spans="1:5" ht="118.5" customHeight="1" x14ac:dyDescent="0.3">
      <c r="A65" s="11" t="s">
        <v>556</v>
      </c>
      <c r="B65" s="12" t="s">
        <v>555</v>
      </c>
      <c r="C65" s="12">
        <v>600</v>
      </c>
      <c r="D65" s="5">
        <v>0</v>
      </c>
      <c r="E65" s="5">
        <f>2670060.62+269.71</f>
        <v>2670330.33</v>
      </c>
    </row>
    <row r="66" spans="1:5" ht="111.75" hidden="1" customHeight="1" x14ac:dyDescent="0.3">
      <c r="A66" s="11" t="s">
        <v>492</v>
      </c>
      <c r="B66" s="12" t="s">
        <v>491</v>
      </c>
      <c r="C66" s="12">
        <v>600</v>
      </c>
      <c r="D66" s="33">
        <v>0</v>
      </c>
      <c r="E66" s="33">
        <v>0</v>
      </c>
    </row>
    <row r="67" spans="1:5" ht="46.5" customHeight="1" x14ac:dyDescent="0.3">
      <c r="A67" s="16" t="s">
        <v>17</v>
      </c>
      <c r="B67" s="17" t="s">
        <v>16</v>
      </c>
      <c r="C67" s="17"/>
      <c r="D67" s="13">
        <f>D68+D71+D73</f>
        <v>9533798.4199999981</v>
      </c>
      <c r="E67" s="13">
        <f>E68+E71+E73</f>
        <v>9533798.4199999999</v>
      </c>
    </row>
    <row r="68" spans="1:5" ht="54" customHeight="1" x14ac:dyDescent="0.3">
      <c r="A68" s="18" t="s">
        <v>19</v>
      </c>
      <c r="B68" s="19" t="s">
        <v>18</v>
      </c>
      <c r="C68" s="19"/>
      <c r="D68" s="14">
        <f>SUM(D69:D70)</f>
        <v>5981618.419999999</v>
      </c>
      <c r="E68" s="14">
        <f>SUM(E69:E70)</f>
        <v>9382198.4199999999</v>
      </c>
    </row>
    <row r="69" spans="1:5" ht="89.25" customHeight="1" x14ac:dyDescent="0.3">
      <c r="A69" s="20" t="s">
        <v>148</v>
      </c>
      <c r="B69" s="12" t="s">
        <v>20</v>
      </c>
      <c r="C69" s="12">
        <v>600</v>
      </c>
      <c r="D69" s="33">
        <f>9366400.53-3400580</f>
        <v>5965820.5299999993</v>
      </c>
      <c r="E69" s="33">
        <v>9366400.5299999993</v>
      </c>
    </row>
    <row r="70" spans="1:5" ht="135" customHeight="1" x14ac:dyDescent="0.3">
      <c r="A70" s="20" t="s">
        <v>503</v>
      </c>
      <c r="B70" s="12" t="s">
        <v>504</v>
      </c>
      <c r="C70" s="12">
        <v>600</v>
      </c>
      <c r="D70" s="33">
        <v>15797.89</v>
      </c>
      <c r="E70" s="33">
        <v>15797.89</v>
      </c>
    </row>
    <row r="71" spans="1:5" ht="37.5" x14ac:dyDescent="0.3">
      <c r="A71" s="18" t="s">
        <v>370</v>
      </c>
      <c r="B71" s="19" t="s">
        <v>371</v>
      </c>
      <c r="C71" s="19"/>
      <c r="D71" s="14">
        <f>SUM(D72:D75)</f>
        <v>3552180</v>
      </c>
      <c r="E71" s="14">
        <f>SUM(E72:E75)</f>
        <v>151600</v>
      </c>
    </row>
    <row r="72" spans="1:5" ht="93.75" x14ac:dyDescent="0.3">
      <c r="A72" s="20" t="s">
        <v>374</v>
      </c>
      <c r="B72" s="12" t="s">
        <v>372</v>
      </c>
      <c r="C72" s="12">
        <v>600</v>
      </c>
      <c r="D72" s="33">
        <v>151600</v>
      </c>
      <c r="E72" s="33">
        <v>151600</v>
      </c>
    </row>
    <row r="73" spans="1:5" ht="0.75" hidden="1" customHeight="1" x14ac:dyDescent="0.3">
      <c r="A73" s="21" t="s">
        <v>448</v>
      </c>
      <c r="B73" s="19" t="s">
        <v>488</v>
      </c>
      <c r="C73" s="17"/>
      <c r="D73" s="14">
        <f t="shared" ref="D73:E73" si="2">D74</f>
        <v>0</v>
      </c>
      <c r="E73" s="14">
        <f t="shared" si="2"/>
        <v>0</v>
      </c>
    </row>
    <row r="74" spans="1:5" ht="93.75" hidden="1" x14ac:dyDescent="0.3">
      <c r="A74" s="20" t="s">
        <v>490</v>
      </c>
      <c r="B74" s="12" t="s">
        <v>489</v>
      </c>
      <c r="C74" s="12">
        <v>600</v>
      </c>
      <c r="D74" s="33">
        <v>0</v>
      </c>
      <c r="E74" s="33">
        <v>0</v>
      </c>
    </row>
    <row r="75" spans="1:5" ht="93.75" x14ac:dyDescent="0.3">
      <c r="A75" s="20" t="s">
        <v>587</v>
      </c>
      <c r="B75" s="12" t="s">
        <v>586</v>
      </c>
      <c r="C75" s="12">
        <v>600</v>
      </c>
      <c r="D75" s="33">
        <v>3400580</v>
      </c>
      <c r="E75" s="33">
        <v>0</v>
      </c>
    </row>
    <row r="76" spans="1:5" s="4" customFormat="1" ht="48" customHeight="1" x14ac:dyDescent="0.3">
      <c r="A76" s="16" t="s">
        <v>22</v>
      </c>
      <c r="B76" s="17" t="s">
        <v>21</v>
      </c>
      <c r="C76" s="17"/>
      <c r="D76" s="13">
        <f t="shared" ref="D76:E76" si="3">D77+D81</f>
        <v>847568</v>
      </c>
      <c r="E76" s="13">
        <f t="shared" si="3"/>
        <v>847568</v>
      </c>
    </row>
    <row r="77" spans="1:5" s="3" customFormat="1" ht="51.75" customHeight="1" x14ac:dyDescent="0.3">
      <c r="A77" s="18" t="s">
        <v>171</v>
      </c>
      <c r="B77" s="19" t="s">
        <v>23</v>
      </c>
      <c r="C77" s="19"/>
      <c r="D77" s="14">
        <f>SUM(D78:D80)</f>
        <v>795488</v>
      </c>
      <c r="E77" s="14">
        <f>SUM(E78:E80)</f>
        <v>795488</v>
      </c>
    </row>
    <row r="78" spans="1:5" ht="75" x14ac:dyDescent="0.3">
      <c r="A78" s="20" t="s">
        <v>434</v>
      </c>
      <c r="B78" s="12" t="s">
        <v>25</v>
      </c>
      <c r="C78" s="12">
        <v>600</v>
      </c>
      <c r="D78" s="33">
        <v>22100</v>
      </c>
      <c r="E78" s="33">
        <v>22100</v>
      </c>
    </row>
    <row r="79" spans="1:5" s="4" customFormat="1" ht="93.75" x14ac:dyDescent="0.3">
      <c r="A79" s="20" t="s">
        <v>431</v>
      </c>
      <c r="B79" s="12" t="s">
        <v>24</v>
      </c>
      <c r="C79" s="12">
        <v>200</v>
      </c>
      <c r="D79" s="33">
        <f>135408+54684-138012</f>
        <v>52080</v>
      </c>
      <c r="E79" s="33">
        <f>135408+54684-138012</f>
        <v>52080</v>
      </c>
    </row>
    <row r="80" spans="1:5" s="3" customFormat="1" ht="93.75" x14ac:dyDescent="0.3">
      <c r="A80" s="20" t="s">
        <v>432</v>
      </c>
      <c r="B80" s="12" t="s">
        <v>24</v>
      </c>
      <c r="C80" s="12">
        <v>600</v>
      </c>
      <c r="D80" s="33">
        <f>411432+171864+138012</f>
        <v>721308</v>
      </c>
      <c r="E80" s="33">
        <f>411432+171864+138012</f>
        <v>721308</v>
      </c>
    </row>
    <row r="81" spans="1:5" ht="50.25" customHeight="1" x14ac:dyDescent="0.3">
      <c r="A81" s="18" t="s">
        <v>166</v>
      </c>
      <c r="B81" s="19" t="s">
        <v>26</v>
      </c>
      <c r="C81" s="19"/>
      <c r="D81" s="14">
        <f t="shared" ref="D81:E81" si="4">D82</f>
        <v>52080</v>
      </c>
      <c r="E81" s="14">
        <f t="shared" si="4"/>
        <v>52080</v>
      </c>
    </row>
    <row r="82" spans="1:5" ht="120.75" customHeight="1" x14ac:dyDescent="0.3">
      <c r="A82" s="20" t="s">
        <v>167</v>
      </c>
      <c r="B82" s="12" t="s">
        <v>27</v>
      </c>
      <c r="C82" s="12">
        <v>200</v>
      </c>
      <c r="D82" s="33">
        <v>52080</v>
      </c>
      <c r="E82" s="33">
        <v>52080</v>
      </c>
    </row>
    <row r="83" spans="1:5" ht="31.5" customHeight="1" x14ac:dyDescent="0.3">
      <c r="A83" s="16" t="s">
        <v>187</v>
      </c>
      <c r="B83" s="17" t="s">
        <v>28</v>
      </c>
      <c r="C83" s="17"/>
      <c r="D83" s="13">
        <f t="shared" ref="D83:E83" si="5">D84</f>
        <v>139590</v>
      </c>
      <c r="E83" s="13">
        <f t="shared" si="5"/>
        <v>139590</v>
      </c>
    </row>
    <row r="84" spans="1:5" ht="45" customHeight="1" x14ac:dyDescent="0.3">
      <c r="A84" s="18" t="s">
        <v>188</v>
      </c>
      <c r="B84" s="19" t="s">
        <v>29</v>
      </c>
      <c r="C84" s="19"/>
      <c r="D84" s="14">
        <f>SUM(D85:D89)</f>
        <v>139590</v>
      </c>
      <c r="E84" s="14">
        <f t="shared" ref="E84" si="6">SUM(E85:E89)</f>
        <v>139590</v>
      </c>
    </row>
    <row r="85" spans="1:5" s="3" customFormat="1" ht="146.25" customHeight="1" x14ac:dyDescent="0.3">
      <c r="A85" s="20" t="s">
        <v>189</v>
      </c>
      <c r="B85" s="12" t="s">
        <v>30</v>
      </c>
      <c r="C85" s="12">
        <v>200</v>
      </c>
      <c r="D85" s="33">
        <v>19590</v>
      </c>
      <c r="E85" s="33">
        <v>19590</v>
      </c>
    </row>
    <row r="86" spans="1:5" ht="146.25" customHeight="1" x14ac:dyDescent="0.3">
      <c r="A86" s="20" t="s">
        <v>381</v>
      </c>
      <c r="B86" s="12" t="s">
        <v>30</v>
      </c>
      <c r="C86" s="12">
        <v>600</v>
      </c>
      <c r="D86" s="33">
        <f>65000</f>
        <v>65000</v>
      </c>
      <c r="E86" s="33">
        <v>65000</v>
      </c>
    </row>
    <row r="87" spans="1:5" s="4" customFormat="1" ht="124.5" customHeight="1" x14ac:dyDescent="0.3">
      <c r="A87" s="20" t="s">
        <v>190</v>
      </c>
      <c r="B87" s="12" t="s">
        <v>31</v>
      </c>
      <c r="C87" s="12">
        <v>200</v>
      </c>
      <c r="D87" s="33">
        <v>23000</v>
      </c>
      <c r="E87" s="33">
        <v>23000</v>
      </c>
    </row>
    <row r="88" spans="1:5" s="4" customFormat="1" ht="124.5" customHeight="1" x14ac:dyDescent="0.3">
      <c r="A88" s="20" t="s">
        <v>344</v>
      </c>
      <c r="B88" s="12" t="s">
        <v>31</v>
      </c>
      <c r="C88" s="12">
        <v>600</v>
      </c>
      <c r="D88" s="33">
        <v>22000</v>
      </c>
      <c r="E88" s="33">
        <v>22000</v>
      </c>
    </row>
    <row r="89" spans="1:5" s="4" customFormat="1" ht="93.75" customHeight="1" x14ac:dyDescent="0.3">
      <c r="A89" s="20" t="s">
        <v>382</v>
      </c>
      <c r="B89" s="12" t="s">
        <v>377</v>
      </c>
      <c r="C89" s="12">
        <v>600</v>
      </c>
      <c r="D89" s="33">
        <v>10000</v>
      </c>
      <c r="E89" s="33">
        <v>10000</v>
      </c>
    </row>
    <row r="90" spans="1:5" s="3" customFormat="1" ht="49.5" customHeight="1" x14ac:dyDescent="0.3">
      <c r="A90" s="22" t="s">
        <v>33</v>
      </c>
      <c r="B90" s="17" t="s">
        <v>32</v>
      </c>
      <c r="C90" s="17"/>
      <c r="D90" s="13">
        <f t="shared" ref="D90:E90" si="7">D91</f>
        <v>50000</v>
      </c>
      <c r="E90" s="13">
        <f t="shared" si="7"/>
        <v>50000</v>
      </c>
    </row>
    <row r="91" spans="1:5" ht="53.25" customHeight="1" x14ac:dyDescent="0.3">
      <c r="A91" s="18" t="s">
        <v>35</v>
      </c>
      <c r="B91" s="19" t="s">
        <v>34</v>
      </c>
      <c r="C91" s="19"/>
      <c r="D91" s="14">
        <f t="shared" ref="D91:E91" si="8">SUM(D92:D93)</f>
        <v>50000</v>
      </c>
      <c r="E91" s="14">
        <f t="shared" si="8"/>
        <v>50000</v>
      </c>
    </row>
    <row r="92" spans="1:5" ht="144" customHeight="1" x14ac:dyDescent="0.3">
      <c r="A92" s="20" t="s">
        <v>153</v>
      </c>
      <c r="B92" s="12" t="s">
        <v>36</v>
      </c>
      <c r="C92" s="12">
        <v>200</v>
      </c>
      <c r="D92" s="33">
        <v>30000</v>
      </c>
      <c r="E92" s="33">
        <v>30000</v>
      </c>
    </row>
    <row r="93" spans="1:5" ht="144" customHeight="1" x14ac:dyDescent="0.3">
      <c r="A93" s="20" t="s">
        <v>150</v>
      </c>
      <c r="B93" s="12" t="s">
        <v>36</v>
      </c>
      <c r="C93" s="12">
        <v>600</v>
      </c>
      <c r="D93" s="33">
        <v>20000</v>
      </c>
      <c r="E93" s="33">
        <v>20000</v>
      </c>
    </row>
    <row r="94" spans="1:5" ht="84.75" customHeight="1" x14ac:dyDescent="0.3">
      <c r="A94" s="16" t="s">
        <v>191</v>
      </c>
      <c r="B94" s="17" t="s">
        <v>37</v>
      </c>
      <c r="C94" s="17"/>
      <c r="D94" s="13">
        <f t="shared" ref="D94:E94" si="9">D95</f>
        <v>9453646.4399999995</v>
      </c>
      <c r="E94" s="13">
        <f t="shared" si="9"/>
        <v>9453646.4399999995</v>
      </c>
    </row>
    <row r="95" spans="1:5" s="4" customFormat="1" ht="82.5" customHeight="1" x14ac:dyDescent="0.3">
      <c r="A95" s="18" t="s">
        <v>349</v>
      </c>
      <c r="B95" s="19" t="s">
        <v>38</v>
      </c>
      <c r="C95" s="19"/>
      <c r="D95" s="14">
        <f t="shared" ref="D95:E95" si="10">SUM(D96:D98)</f>
        <v>9453646.4399999995</v>
      </c>
      <c r="E95" s="14">
        <f t="shared" si="10"/>
        <v>9453646.4399999995</v>
      </c>
    </row>
    <row r="96" spans="1:5" s="3" customFormat="1" ht="112.5" x14ac:dyDescent="0.3">
      <c r="A96" s="20" t="s">
        <v>137</v>
      </c>
      <c r="B96" s="12" t="s">
        <v>39</v>
      </c>
      <c r="C96" s="12">
        <v>100</v>
      </c>
      <c r="D96" s="33">
        <f>6901253+1352689.94</f>
        <v>8253942.9399999995</v>
      </c>
      <c r="E96" s="33">
        <f>6901253+1352689.94</f>
        <v>8253942.9399999995</v>
      </c>
    </row>
    <row r="97" spans="1:5" ht="71.25" customHeight="1" x14ac:dyDescent="0.3">
      <c r="A97" s="20" t="s">
        <v>192</v>
      </c>
      <c r="B97" s="12" t="s">
        <v>39</v>
      </c>
      <c r="C97" s="12">
        <v>200</v>
      </c>
      <c r="D97" s="33">
        <v>1177203.5</v>
      </c>
      <c r="E97" s="33">
        <v>1177203.5</v>
      </c>
    </row>
    <row r="98" spans="1:5" ht="37.5" x14ac:dyDescent="0.3">
      <c r="A98" s="20" t="s">
        <v>193</v>
      </c>
      <c r="B98" s="12" t="s">
        <v>39</v>
      </c>
      <c r="C98" s="12">
        <v>800</v>
      </c>
      <c r="D98" s="33">
        <v>22500</v>
      </c>
      <c r="E98" s="33">
        <v>22500</v>
      </c>
    </row>
    <row r="99" spans="1:5" ht="75" x14ac:dyDescent="0.3">
      <c r="A99" s="16" t="s">
        <v>450</v>
      </c>
      <c r="B99" s="17" t="s">
        <v>451</v>
      </c>
      <c r="C99" s="17"/>
      <c r="D99" s="13">
        <f t="shared" ref="D99:E100" si="11">D100</f>
        <v>15000</v>
      </c>
      <c r="E99" s="13">
        <f t="shared" si="11"/>
        <v>15000</v>
      </c>
    </row>
    <row r="100" spans="1:5" ht="75" x14ac:dyDescent="0.3">
      <c r="A100" s="18" t="s">
        <v>452</v>
      </c>
      <c r="B100" s="19" t="s">
        <v>453</v>
      </c>
      <c r="C100" s="19"/>
      <c r="D100" s="14">
        <f t="shared" si="11"/>
        <v>15000</v>
      </c>
      <c r="E100" s="14">
        <f t="shared" si="11"/>
        <v>15000</v>
      </c>
    </row>
    <row r="101" spans="1:5" ht="75" x14ac:dyDescent="0.3">
      <c r="A101" s="20" t="s">
        <v>455</v>
      </c>
      <c r="B101" s="12" t="s">
        <v>454</v>
      </c>
      <c r="C101" s="12">
        <v>200</v>
      </c>
      <c r="D101" s="33">
        <v>15000</v>
      </c>
      <c r="E101" s="33">
        <v>15000</v>
      </c>
    </row>
    <row r="102" spans="1:5" s="4" customFormat="1" ht="81.75" customHeight="1" x14ac:dyDescent="0.3">
      <c r="A102" s="16" t="s">
        <v>416</v>
      </c>
      <c r="B102" s="17" t="s">
        <v>40</v>
      </c>
      <c r="C102" s="17"/>
      <c r="D102" s="13">
        <f>D103+D108+D114+D122+D143+D152+D156+D117</f>
        <v>15385000.92</v>
      </c>
      <c r="E102" s="13">
        <f>E103+E108+E114+E122+E143+E152+E156+E117</f>
        <v>12386427.24</v>
      </c>
    </row>
    <row r="103" spans="1:5" s="3" customFormat="1" ht="53.25" customHeight="1" x14ac:dyDescent="0.3">
      <c r="A103" s="16" t="s">
        <v>194</v>
      </c>
      <c r="B103" s="17" t="s">
        <v>41</v>
      </c>
      <c r="C103" s="17"/>
      <c r="D103" s="13">
        <f t="shared" ref="D103:E103" si="12">D104</f>
        <v>4380979</v>
      </c>
      <c r="E103" s="13">
        <f t="shared" si="12"/>
        <v>4380979</v>
      </c>
    </row>
    <row r="104" spans="1:5" s="4" customFormat="1" ht="105.75" customHeight="1" x14ac:dyDescent="0.3">
      <c r="A104" s="21" t="s">
        <v>230</v>
      </c>
      <c r="B104" s="19" t="s">
        <v>231</v>
      </c>
      <c r="C104" s="19"/>
      <c r="D104" s="14">
        <f>SUM(D105:D107)</f>
        <v>4380979</v>
      </c>
      <c r="E104" s="14">
        <f>SUM(E105:E107)</f>
        <v>4380979</v>
      </c>
    </row>
    <row r="105" spans="1:5" s="4" customFormat="1" ht="111.75" customHeight="1" x14ac:dyDescent="0.3">
      <c r="A105" s="20" t="s">
        <v>461</v>
      </c>
      <c r="B105" s="12" t="s">
        <v>463</v>
      </c>
      <c r="C105" s="12">
        <v>500</v>
      </c>
      <c r="D105" s="33">
        <v>1025066.51</v>
      </c>
      <c r="E105" s="33">
        <v>1025066.51</v>
      </c>
    </row>
    <row r="106" spans="1:5" s="4" customFormat="1" ht="143.25" customHeight="1" x14ac:dyDescent="0.3">
      <c r="A106" s="20" t="s">
        <v>557</v>
      </c>
      <c r="B106" s="12" t="s">
        <v>558</v>
      </c>
      <c r="C106" s="12">
        <v>500</v>
      </c>
      <c r="D106" s="33">
        <v>3109098.55</v>
      </c>
      <c r="E106" s="33">
        <v>3109098.55</v>
      </c>
    </row>
    <row r="107" spans="1:5" s="3" customFormat="1" ht="66.75" customHeight="1" x14ac:dyDescent="0.3">
      <c r="A107" s="20" t="s">
        <v>472</v>
      </c>
      <c r="B107" s="12" t="s">
        <v>345</v>
      </c>
      <c r="C107" s="12">
        <v>200</v>
      </c>
      <c r="D107" s="33">
        <v>246813.94</v>
      </c>
      <c r="E107" s="33">
        <v>246813.94</v>
      </c>
    </row>
    <row r="108" spans="1:5" ht="65.25" customHeight="1" x14ac:dyDescent="0.3">
      <c r="A108" s="16" t="s">
        <v>195</v>
      </c>
      <c r="B108" s="17" t="s">
        <v>42</v>
      </c>
      <c r="C108" s="17"/>
      <c r="D108" s="13">
        <f t="shared" ref="D108:E108" si="13">D109</f>
        <v>254021</v>
      </c>
      <c r="E108" s="13">
        <f t="shared" si="13"/>
        <v>254021</v>
      </c>
    </row>
    <row r="109" spans="1:5" ht="50.25" customHeight="1" x14ac:dyDescent="0.3">
      <c r="A109" s="18" t="s">
        <v>196</v>
      </c>
      <c r="B109" s="19" t="s">
        <v>43</v>
      </c>
      <c r="C109" s="19"/>
      <c r="D109" s="14">
        <f t="shared" ref="D109:E109" si="14">SUM(D110:D113)</f>
        <v>254021</v>
      </c>
      <c r="E109" s="14">
        <f t="shared" si="14"/>
        <v>254021</v>
      </c>
    </row>
    <row r="110" spans="1:5" s="3" customFormat="1" ht="87.75" customHeight="1" x14ac:dyDescent="0.3">
      <c r="A110" s="20" t="s">
        <v>232</v>
      </c>
      <c r="B110" s="12" t="s">
        <v>44</v>
      </c>
      <c r="C110" s="12">
        <v>200</v>
      </c>
      <c r="D110" s="33">
        <v>184021</v>
      </c>
      <c r="E110" s="33">
        <v>184021</v>
      </c>
    </row>
    <row r="111" spans="1:5" ht="145.5" customHeight="1" x14ac:dyDescent="0.3">
      <c r="A111" s="20" t="s">
        <v>336</v>
      </c>
      <c r="B111" s="12" t="s">
        <v>45</v>
      </c>
      <c r="C111" s="12">
        <v>200</v>
      </c>
      <c r="D111" s="33">
        <v>20000</v>
      </c>
      <c r="E111" s="33">
        <v>20000</v>
      </c>
    </row>
    <row r="112" spans="1:5" ht="143.25" customHeight="1" x14ac:dyDescent="0.3">
      <c r="A112" s="20" t="s">
        <v>337</v>
      </c>
      <c r="B112" s="12" t="s">
        <v>45</v>
      </c>
      <c r="C112" s="12">
        <v>600</v>
      </c>
      <c r="D112" s="33">
        <v>20000</v>
      </c>
      <c r="E112" s="33">
        <v>20000</v>
      </c>
    </row>
    <row r="113" spans="1:5" s="4" customFormat="1" ht="87.75" customHeight="1" x14ac:dyDescent="0.3">
      <c r="A113" s="20" t="s">
        <v>233</v>
      </c>
      <c r="B113" s="12" t="s">
        <v>234</v>
      </c>
      <c r="C113" s="12">
        <v>200</v>
      </c>
      <c r="D113" s="33">
        <v>30000</v>
      </c>
      <c r="E113" s="33">
        <v>30000</v>
      </c>
    </row>
    <row r="114" spans="1:5" s="3" customFormat="1" ht="109.5" customHeight="1" x14ac:dyDescent="0.3">
      <c r="A114" s="23" t="s">
        <v>486</v>
      </c>
      <c r="B114" s="17" t="s">
        <v>46</v>
      </c>
      <c r="C114" s="17"/>
      <c r="D114" s="13">
        <f t="shared" ref="D114:E114" si="15">D115</f>
        <v>2957078.3</v>
      </c>
      <c r="E114" s="13">
        <f t="shared" si="15"/>
        <v>0</v>
      </c>
    </row>
    <row r="115" spans="1:5" ht="66.75" customHeight="1" x14ac:dyDescent="0.3">
      <c r="A115" s="18" t="s">
        <v>48</v>
      </c>
      <c r="B115" s="19" t="s">
        <v>47</v>
      </c>
      <c r="C115" s="19"/>
      <c r="D115" s="14">
        <f t="shared" ref="D115:E115" si="16">SUM(D116:D116)</f>
        <v>2957078.3</v>
      </c>
      <c r="E115" s="14">
        <f t="shared" si="16"/>
        <v>0</v>
      </c>
    </row>
    <row r="116" spans="1:5" ht="112.5" x14ac:dyDescent="0.3">
      <c r="A116" s="11" t="s">
        <v>429</v>
      </c>
      <c r="B116" s="12" t="s">
        <v>430</v>
      </c>
      <c r="C116" s="12">
        <v>200</v>
      </c>
      <c r="D116" s="33">
        <f>2495743.73+461334.57</f>
        <v>2957078.3</v>
      </c>
      <c r="E116" s="33">
        <f>2495743.73-2495743.73</f>
        <v>0</v>
      </c>
    </row>
    <row r="117" spans="1:5" ht="37.5" x14ac:dyDescent="0.3">
      <c r="A117" s="23" t="s">
        <v>518</v>
      </c>
      <c r="B117" s="17" t="s">
        <v>514</v>
      </c>
      <c r="C117" s="17"/>
      <c r="D117" s="32">
        <f>D118</f>
        <v>0</v>
      </c>
      <c r="E117" s="32">
        <f>E118</f>
        <v>600000</v>
      </c>
    </row>
    <row r="118" spans="1:5" ht="37.5" x14ac:dyDescent="0.3">
      <c r="A118" s="21" t="s">
        <v>519</v>
      </c>
      <c r="B118" s="19" t="s">
        <v>515</v>
      </c>
      <c r="C118" s="19"/>
      <c r="D118" s="34">
        <f>SUM(D119:D120)</f>
        <v>0</v>
      </c>
      <c r="E118" s="34">
        <f>SUM(E119:E120)</f>
        <v>600000</v>
      </c>
    </row>
    <row r="119" spans="1:5" ht="56.25" x14ac:dyDescent="0.3">
      <c r="A119" s="11" t="s">
        <v>520</v>
      </c>
      <c r="B119" s="12" t="s">
        <v>516</v>
      </c>
      <c r="C119" s="12">
        <v>200</v>
      </c>
      <c r="D119" s="33">
        <f>300000-230667.29-69332.71</f>
        <v>0</v>
      </c>
      <c r="E119" s="33">
        <v>300000</v>
      </c>
    </row>
    <row r="120" spans="1:5" ht="93.75" x14ac:dyDescent="0.3">
      <c r="A120" s="11" t="s">
        <v>521</v>
      </c>
      <c r="B120" s="12" t="s">
        <v>517</v>
      </c>
      <c r="C120" s="12">
        <v>200</v>
      </c>
      <c r="D120" s="33">
        <f>300000-230667.28-69332.72</f>
        <v>0</v>
      </c>
      <c r="E120" s="33">
        <v>300000</v>
      </c>
    </row>
    <row r="121" spans="1:5" ht="37.5" hidden="1" x14ac:dyDescent="0.3">
      <c r="A121" s="16" t="s">
        <v>494</v>
      </c>
      <c r="B121" s="17" t="s">
        <v>495</v>
      </c>
      <c r="C121" s="17"/>
      <c r="D121" s="32">
        <v>0</v>
      </c>
      <c r="E121" s="32">
        <v>0</v>
      </c>
    </row>
    <row r="122" spans="1:5" s="4" customFormat="1" ht="75" x14ac:dyDescent="0.3">
      <c r="A122" s="23" t="s">
        <v>235</v>
      </c>
      <c r="B122" s="17" t="s">
        <v>236</v>
      </c>
      <c r="C122" s="12"/>
      <c r="D122" s="13">
        <f>D123+D128+D134+D138+D140+D124+D126</f>
        <v>2766836.7600000002</v>
      </c>
      <c r="E122" s="13">
        <f>E123+E128+E134+E138+E140+E124</f>
        <v>2125341.38</v>
      </c>
    </row>
    <row r="123" spans="1:5" s="3" customFormat="1" ht="37.5" hidden="1" x14ac:dyDescent="0.3">
      <c r="A123" s="21" t="s">
        <v>237</v>
      </c>
      <c r="B123" s="19" t="s">
        <v>238</v>
      </c>
      <c r="C123" s="12"/>
      <c r="D123" s="34"/>
      <c r="E123" s="34"/>
    </row>
    <row r="124" spans="1:5" s="3" customFormat="1" ht="37.5" x14ac:dyDescent="0.3">
      <c r="A124" s="21" t="s">
        <v>237</v>
      </c>
      <c r="B124" s="19" t="s">
        <v>238</v>
      </c>
      <c r="C124" s="12"/>
      <c r="D124" s="34">
        <f>D125</f>
        <v>1209192.33</v>
      </c>
      <c r="E124" s="34">
        <f>E125</f>
        <v>0</v>
      </c>
    </row>
    <row r="125" spans="1:5" s="3" customFormat="1" ht="93.75" x14ac:dyDescent="0.3">
      <c r="A125" s="11" t="s">
        <v>584</v>
      </c>
      <c r="B125" s="12" t="s">
        <v>585</v>
      </c>
      <c r="C125" s="12">
        <v>200</v>
      </c>
      <c r="D125" s="33">
        <v>1209192.33</v>
      </c>
      <c r="E125" s="33">
        <v>0</v>
      </c>
    </row>
    <row r="126" spans="1:5" s="3" customFormat="1" ht="37.5" x14ac:dyDescent="0.3">
      <c r="A126" s="21" t="s">
        <v>591</v>
      </c>
      <c r="B126" s="19" t="s">
        <v>589</v>
      </c>
      <c r="C126" s="19"/>
      <c r="D126" s="34">
        <f>D127</f>
        <v>18557.27</v>
      </c>
      <c r="E126" s="34">
        <f>E127</f>
        <v>0</v>
      </c>
    </row>
    <row r="127" spans="1:5" s="3" customFormat="1" ht="131.25" x14ac:dyDescent="0.3">
      <c r="A127" s="11" t="s">
        <v>592</v>
      </c>
      <c r="B127" s="12" t="s">
        <v>590</v>
      </c>
      <c r="C127" s="12">
        <v>200</v>
      </c>
      <c r="D127" s="33">
        <v>18557.27</v>
      </c>
      <c r="E127" s="33">
        <v>0</v>
      </c>
    </row>
    <row r="128" spans="1:5" ht="50.25" customHeight="1" x14ac:dyDescent="0.3">
      <c r="A128" s="21" t="s">
        <v>239</v>
      </c>
      <c r="B128" s="19" t="s">
        <v>240</v>
      </c>
      <c r="C128" s="12"/>
      <c r="D128" s="14">
        <f>SUM(D129:D133)</f>
        <v>1278341.28</v>
      </c>
      <c r="E128" s="14">
        <f>SUM(E129:E131)</f>
        <v>1303000</v>
      </c>
    </row>
    <row r="129" spans="1:5" ht="117" customHeight="1" x14ac:dyDescent="0.3">
      <c r="A129" s="11" t="s">
        <v>462</v>
      </c>
      <c r="B129" s="12" t="s">
        <v>464</v>
      </c>
      <c r="C129" s="12">
        <v>500</v>
      </c>
      <c r="D129" s="33">
        <v>400000</v>
      </c>
      <c r="E129" s="33">
        <v>400000</v>
      </c>
    </row>
    <row r="130" spans="1:5" ht="84.75" customHeight="1" x14ac:dyDescent="0.3">
      <c r="A130" s="11" t="s">
        <v>389</v>
      </c>
      <c r="B130" s="12" t="s">
        <v>435</v>
      </c>
      <c r="C130" s="12">
        <v>200</v>
      </c>
      <c r="D130" s="33">
        <v>488000</v>
      </c>
      <c r="E130" s="33">
        <v>488000</v>
      </c>
    </row>
    <row r="131" spans="1:5" ht="101.25" customHeight="1" x14ac:dyDescent="0.3">
      <c r="A131" s="11" t="s">
        <v>442</v>
      </c>
      <c r="B131" s="12" t="s">
        <v>436</v>
      </c>
      <c r="C131" s="12">
        <v>200</v>
      </c>
      <c r="D131" s="33">
        <f>415000-27566.56</f>
        <v>387433.44</v>
      </c>
      <c r="E131" s="33">
        <v>415000</v>
      </c>
    </row>
    <row r="132" spans="1:5" ht="117.75" customHeight="1" x14ac:dyDescent="0.3">
      <c r="A132" s="11" t="s">
        <v>594</v>
      </c>
      <c r="B132" s="12" t="s">
        <v>593</v>
      </c>
      <c r="C132" s="12">
        <v>200</v>
      </c>
      <c r="D132" s="33">
        <v>671.04</v>
      </c>
      <c r="E132" s="33">
        <v>0</v>
      </c>
    </row>
    <row r="133" spans="1:5" ht="96.75" customHeight="1" x14ac:dyDescent="0.3">
      <c r="A133" s="11" t="s">
        <v>596</v>
      </c>
      <c r="B133" s="12" t="s">
        <v>595</v>
      </c>
      <c r="C133" s="12">
        <v>200</v>
      </c>
      <c r="D133" s="33">
        <v>2236.8000000000002</v>
      </c>
      <c r="E133" s="33">
        <v>0</v>
      </c>
    </row>
    <row r="134" spans="1:5" ht="46.5" customHeight="1" x14ac:dyDescent="0.3">
      <c r="A134" s="21" t="s">
        <v>241</v>
      </c>
      <c r="B134" s="19" t="s">
        <v>242</v>
      </c>
      <c r="C134" s="12"/>
      <c r="D134" s="14">
        <f>SUM(D135:D137)</f>
        <v>6101.4500000000007</v>
      </c>
      <c r="E134" s="14">
        <f t="shared" ref="E134" si="17">E135</f>
        <v>120000</v>
      </c>
    </row>
    <row r="135" spans="1:5" ht="70.5" customHeight="1" x14ac:dyDescent="0.3">
      <c r="A135" s="11" t="s">
        <v>243</v>
      </c>
      <c r="B135" s="12" t="s">
        <v>244</v>
      </c>
      <c r="C135" s="12">
        <v>200</v>
      </c>
      <c r="D135" s="33">
        <f>120000-120000</f>
        <v>0</v>
      </c>
      <c r="E135" s="33">
        <v>120000</v>
      </c>
    </row>
    <row r="136" spans="1:5" ht="124.5" customHeight="1" x14ac:dyDescent="0.3">
      <c r="A136" s="11" t="s">
        <v>598</v>
      </c>
      <c r="B136" s="12" t="s">
        <v>597</v>
      </c>
      <c r="C136" s="12">
        <v>200</v>
      </c>
      <c r="D136" s="33">
        <v>524.1</v>
      </c>
      <c r="E136" s="33">
        <v>0</v>
      </c>
    </row>
    <row r="137" spans="1:5" ht="92.25" customHeight="1" x14ac:dyDescent="0.3">
      <c r="A137" s="11" t="s">
        <v>600</v>
      </c>
      <c r="B137" s="12" t="s">
        <v>599</v>
      </c>
      <c r="C137" s="12">
        <v>200</v>
      </c>
      <c r="D137" s="33">
        <v>5577.35</v>
      </c>
      <c r="E137" s="33">
        <v>0</v>
      </c>
    </row>
    <row r="138" spans="1:5" s="4" customFormat="1" ht="64.5" customHeight="1" x14ac:dyDescent="0.3">
      <c r="A138" s="21" t="s">
        <v>325</v>
      </c>
      <c r="B138" s="19" t="s">
        <v>245</v>
      </c>
      <c r="C138" s="12"/>
      <c r="D138" s="14">
        <f t="shared" ref="D138:E138" si="18">D139</f>
        <v>14644.43</v>
      </c>
      <c r="E138" s="14">
        <f t="shared" si="18"/>
        <v>60000</v>
      </c>
    </row>
    <row r="139" spans="1:5" s="3" customFormat="1" ht="87" customHeight="1" x14ac:dyDescent="0.3">
      <c r="A139" s="11" t="s">
        <v>326</v>
      </c>
      <c r="B139" s="12" t="s">
        <v>246</v>
      </c>
      <c r="C139" s="12">
        <v>200</v>
      </c>
      <c r="D139" s="33">
        <f>60000-45355.57</f>
        <v>14644.43</v>
      </c>
      <c r="E139" s="33">
        <v>60000</v>
      </c>
    </row>
    <row r="140" spans="1:5" s="3" customFormat="1" ht="54.75" customHeight="1" x14ac:dyDescent="0.3">
      <c r="A140" s="21" t="s">
        <v>353</v>
      </c>
      <c r="B140" s="19" t="s">
        <v>351</v>
      </c>
      <c r="C140" s="19"/>
      <c r="D140" s="14">
        <f>SUM(D141:D142)</f>
        <v>240000</v>
      </c>
      <c r="E140" s="14">
        <f>SUM(E141:E142)</f>
        <v>642341.38</v>
      </c>
    </row>
    <row r="141" spans="1:5" s="3" customFormat="1" ht="92.25" customHeight="1" x14ac:dyDescent="0.3">
      <c r="A141" s="11" t="s">
        <v>354</v>
      </c>
      <c r="B141" s="12" t="s">
        <v>352</v>
      </c>
      <c r="C141" s="12">
        <v>200</v>
      </c>
      <c r="D141" s="33">
        <f>402341.38-402341.38</f>
        <v>0</v>
      </c>
      <c r="E141" s="33">
        <v>402341.38</v>
      </c>
    </row>
    <row r="142" spans="1:5" s="3" customFormat="1" ht="227.25" customHeight="1" x14ac:dyDescent="0.3">
      <c r="A142" s="11" t="s">
        <v>523</v>
      </c>
      <c r="B142" s="12" t="s">
        <v>522</v>
      </c>
      <c r="C142" s="12">
        <v>800</v>
      </c>
      <c r="D142" s="33">
        <v>240000</v>
      </c>
      <c r="E142" s="33">
        <v>240000</v>
      </c>
    </row>
    <row r="143" spans="1:5" s="3" customFormat="1" ht="106.5" customHeight="1" x14ac:dyDescent="0.3">
      <c r="A143" s="23" t="s">
        <v>247</v>
      </c>
      <c r="B143" s="17" t="s">
        <v>248</v>
      </c>
      <c r="C143" s="12"/>
      <c r="D143" s="13">
        <f>D144+D148+D150</f>
        <v>407000</v>
      </c>
      <c r="E143" s="13">
        <f>E144+E148+E150</f>
        <v>407000</v>
      </c>
    </row>
    <row r="144" spans="1:5" ht="110.25" customHeight="1" x14ac:dyDescent="0.3">
      <c r="A144" s="21" t="s">
        <v>249</v>
      </c>
      <c r="B144" s="19" t="s">
        <v>250</v>
      </c>
      <c r="C144" s="12"/>
      <c r="D144" s="14">
        <f t="shared" ref="D144:E144" si="19">SUM(D145:D147)</f>
        <v>279000</v>
      </c>
      <c r="E144" s="14">
        <f t="shared" si="19"/>
        <v>279000</v>
      </c>
    </row>
    <row r="145" spans="1:5" s="4" customFormat="1" ht="105" customHeight="1" x14ac:dyDescent="0.3">
      <c r="A145" s="11" t="s">
        <v>251</v>
      </c>
      <c r="B145" s="12" t="s">
        <v>252</v>
      </c>
      <c r="C145" s="12">
        <v>200</v>
      </c>
      <c r="D145" s="33">
        <v>30000</v>
      </c>
      <c r="E145" s="33">
        <v>30000</v>
      </c>
    </row>
    <row r="146" spans="1:5" s="4" customFormat="1" ht="159" customHeight="1" x14ac:dyDescent="0.3">
      <c r="A146" s="11" t="s">
        <v>253</v>
      </c>
      <c r="B146" s="12" t="s">
        <v>254</v>
      </c>
      <c r="C146" s="12">
        <v>200</v>
      </c>
      <c r="D146" s="33">
        <v>4000</v>
      </c>
      <c r="E146" s="33">
        <v>4000</v>
      </c>
    </row>
    <row r="147" spans="1:5" s="4" customFormat="1" ht="111" customHeight="1" x14ac:dyDescent="0.3">
      <c r="A147" s="11" t="s">
        <v>390</v>
      </c>
      <c r="B147" s="12" t="s">
        <v>391</v>
      </c>
      <c r="C147" s="12">
        <v>200</v>
      </c>
      <c r="D147" s="33">
        <v>245000</v>
      </c>
      <c r="E147" s="33">
        <v>245000</v>
      </c>
    </row>
    <row r="148" spans="1:5" ht="32.25" customHeight="1" x14ac:dyDescent="0.3">
      <c r="A148" s="24" t="s">
        <v>255</v>
      </c>
      <c r="B148" s="19" t="s">
        <v>256</v>
      </c>
      <c r="C148" s="12"/>
      <c r="D148" s="14">
        <f t="shared" ref="D148:E148" si="20">D149</f>
        <v>110000</v>
      </c>
      <c r="E148" s="14">
        <f t="shared" si="20"/>
        <v>110000</v>
      </c>
    </row>
    <row r="149" spans="1:5" ht="68.25" customHeight="1" x14ac:dyDescent="0.3">
      <c r="A149" s="11" t="s">
        <v>257</v>
      </c>
      <c r="B149" s="12" t="s">
        <v>258</v>
      </c>
      <c r="C149" s="12">
        <v>800</v>
      </c>
      <c r="D149" s="33">
        <v>110000</v>
      </c>
      <c r="E149" s="33">
        <v>110000</v>
      </c>
    </row>
    <row r="150" spans="1:5" ht="135" customHeight="1" x14ac:dyDescent="0.3">
      <c r="A150" s="21" t="s">
        <v>526</v>
      </c>
      <c r="B150" s="19" t="s">
        <v>524</v>
      </c>
      <c r="C150" s="19"/>
      <c r="D150" s="34">
        <f>D151</f>
        <v>18000</v>
      </c>
      <c r="E150" s="34">
        <f>E151</f>
        <v>18000</v>
      </c>
    </row>
    <row r="151" spans="1:5" ht="141" customHeight="1" x14ac:dyDescent="0.3">
      <c r="A151" s="11" t="s">
        <v>527</v>
      </c>
      <c r="B151" s="12" t="s">
        <v>525</v>
      </c>
      <c r="C151" s="12">
        <v>200</v>
      </c>
      <c r="D151" s="33">
        <v>18000</v>
      </c>
      <c r="E151" s="33">
        <v>18000</v>
      </c>
    </row>
    <row r="152" spans="1:5" ht="69" customHeight="1" x14ac:dyDescent="0.3">
      <c r="A152" s="25" t="s">
        <v>259</v>
      </c>
      <c r="B152" s="17" t="s">
        <v>260</v>
      </c>
      <c r="C152" s="12"/>
      <c r="D152" s="13">
        <f t="shared" ref="D152:E152" si="21">D153</f>
        <v>842196.26</v>
      </c>
      <c r="E152" s="13">
        <f t="shared" si="21"/>
        <v>842196.26</v>
      </c>
    </row>
    <row r="153" spans="1:5" ht="51.75" customHeight="1" x14ac:dyDescent="0.3">
      <c r="A153" s="21" t="s">
        <v>261</v>
      </c>
      <c r="B153" s="19" t="s">
        <v>262</v>
      </c>
      <c r="C153" s="12"/>
      <c r="D153" s="14">
        <f>SUM(D154:D155)</f>
        <v>842196.26</v>
      </c>
      <c r="E153" s="14">
        <f>SUM(E154:E155)</f>
        <v>842196.26</v>
      </c>
    </row>
    <row r="154" spans="1:5" ht="116.25" customHeight="1" x14ac:dyDescent="0.3">
      <c r="A154" s="11" t="s">
        <v>529</v>
      </c>
      <c r="B154" s="12" t="s">
        <v>528</v>
      </c>
      <c r="C154" s="12">
        <v>500</v>
      </c>
      <c r="D154" s="5">
        <v>570621.41</v>
      </c>
      <c r="E154" s="5">
        <v>570621.41</v>
      </c>
    </row>
    <row r="155" spans="1:5" s="3" customFormat="1" ht="107.25" customHeight="1" x14ac:dyDescent="0.3">
      <c r="A155" s="11" t="s">
        <v>346</v>
      </c>
      <c r="B155" s="12" t="s">
        <v>263</v>
      </c>
      <c r="C155" s="12">
        <v>200</v>
      </c>
      <c r="D155" s="33">
        <v>271574.84999999998</v>
      </c>
      <c r="E155" s="33">
        <v>271574.84999999998</v>
      </c>
    </row>
    <row r="156" spans="1:5" s="3" customFormat="1" ht="88.5" customHeight="1" x14ac:dyDescent="0.3">
      <c r="A156" s="23" t="s">
        <v>383</v>
      </c>
      <c r="B156" s="17" t="s">
        <v>378</v>
      </c>
      <c r="C156" s="17"/>
      <c r="D156" s="13">
        <f t="shared" ref="D156:E157" si="22">D157</f>
        <v>3776889.6</v>
      </c>
      <c r="E156" s="13">
        <f t="shared" si="22"/>
        <v>3776889.6</v>
      </c>
    </row>
    <row r="157" spans="1:5" s="3" customFormat="1" ht="84.75" customHeight="1" x14ac:dyDescent="0.3">
      <c r="A157" s="21" t="s">
        <v>384</v>
      </c>
      <c r="B157" s="19" t="s">
        <v>379</v>
      </c>
      <c r="C157" s="19"/>
      <c r="D157" s="14">
        <f t="shared" si="22"/>
        <v>3776889.6</v>
      </c>
      <c r="E157" s="14">
        <f t="shared" si="22"/>
        <v>3776889.6</v>
      </c>
    </row>
    <row r="158" spans="1:5" s="3" customFormat="1" ht="109.5" customHeight="1" x14ac:dyDescent="0.3">
      <c r="A158" s="11" t="s">
        <v>385</v>
      </c>
      <c r="B158" s="12" t="s">
        <v>380</v>
      </c>
      <c r="C158" s="12">
        <v>400</v>
      </c>
      <c r="D158" s="33">
        <v>3776889.6</v>
      </c>
      <c r="E158" s="33">
        <f>944222.4+2832667.2</f>
        <v>3776889.6</v>
      </c>
    </row>
    <row r="159" spans="1:5" ht="69" customHeight="1" x14ac:dyDescent="0.3">
      <c r="A159" s="16" t="s">
        <v>201</v>
      </c>
      <c r="B159" s="17" t="s">
        <v>49</v>
      </c>
      <c r="C159" s="17"/>
      <c r="D159" s="13">
        <f>D160+D169+D174+D178+D181+D184+D185</f>
        <v>18669120.16</v>
      </c>
      <c r="E159" s="13">
        <f>E160+E169+E174+E178+E181+E184+E185</f>
        <v>17556814.740000002</v>
      </c>
    </row>
    <row r="160" spans="1:5" ht="46.5" customHeight="1" x14ac:dyDescent="0.3">
      <c r="A160" s="16" t="s">
        <v>202</v>
      </c>
      <c r="B160" s="17" t="s">
        <v>50</v>
      </c>
      <c r="C160" s="17"/>
      <c r="D160" s="13">
        <f>D161+D167</f>
        <v>13446061.270000001</v>
      </c>
      <c r="E160" s="13">
        <f>E161+E167</f>
        <v>13446061.270000001</v>
      </c>
    </row>
    <row r="161" spans="1:5" s="4" customFormat="1" ht="47.25" customHeight="1" x14ac:dyDescent="0.3">
      <c r="A161" s="18" t="s">
        <v>52</v>
      </c>
      <c r="B161" s="19" t="s">
        <v>51</v>
      </c>
      <c r="C161" s="19"/>
      <c r="D161" s="14">
        <f t="shared" ref="D161:E161" si="23">SUM(D162:D166)</f>
        <v>13396061.270000001</v>
      </c>
      <c r="E161" s="14">
        <f t="shared" si="23"/>
        <v>13396061.270000001</v>
      </c>
    </row>
    <row r="162" spans="1:5" s="3" customFormat="1" ht="112.5" x14ac:dyDescent="0.3">
      <c r="A162" s="20" t="s">
        <v>138</v>
      </c>
      <c r="B162" s="12" t="s">
        <v>53</v>
      </c>
      <c r="C162" s="12">
        <v>100</v>
      </c>
      <c r="D162" s="33">
        <f>9811344.71+1378457.16</f>
        <v>11189801.870000001</v>
      </c>
      <c r="E162" s="33">
        <f>9811344.71+1378457.16</f>
        <v>11189801.870000001</v>
      </c>
    </row>
    <row r="163" spans="1:5" ht="87" customHeight="1" x14ac:dyDescent="0.3">
      <c r="A163" s="20" t="s">
        <v>154</v>
      </c>
      <c r="B163" s="12" t="s">
        <v>53</v>
      </c>
      <c r="C163" s="12">
        <v>200</v>
      </c>
      <c r="D163" s="33">
        <v>1372724.25</v>
      </c>
      <c r="E163" s="33">
        <v>1372724.25</v>
      </c>
    </row>
    <row r="164" spans="1:5" s="3" customFormat="1" ht="67.5" customHeight="1" x14ac:dyDescent="0.3">
      <c r="A164" s="20" t="s">
        <v>151</v>
      </c>
      <c r="B164" s="12" t="s">
        <v>53</v>
      </c>
      <c r="C164" s="12">
        <v>800</v>
      </c>
      <c r="D164" s="33">
        <v>13600</v>
      </c>
      <c r="E164" s="33">
        <v>13600</v>
      </c>
    </row>
    <row r="165" spans="1:5" ht="148.5" customHeight="1" x14ac:dyDescent="0.3">
      <c r="A165" s="20" t="s">
        <v>139</v>
      </c>
      <c r="B165" s="12" t="s">
        <v>54</v>
      </c>
      <c r="C165" s="12">
        <v>100</v>
      </c>
      <c r="D165" s="33">
        <f>436737.12+19530.03</f>
        <v>456267.15</v>
      </c>
      <c r="E165" s="33">
        <f>436737.12+19530.03</f>
        <v>456267.15</v>
      </c>
    </row>
    <row r="166" spans="1:5" ht="102.75" customHeight="1" x14ac:dyDescent="0.3">
      <c r="A166" s="20" t="s">
        <v>155</v>
      </c>
      <c r="B166" s="12" t="s">
        <v>54</v>
      </c>
      <c r="C166" s="12">
        <v>200</v>
      </c>
      <c r="D166" s="33">
        <v>363668</v>
      </c>
      <c r="E166" s="33">
        <v>363668</v>
      </c>
    </row>
    <row r="167" spans="1:5" ht="74.25" customHeight="1" x14ac:dyDescent="0.3">
      <c r="A167" s="18" t="s">
        <v>496</v>
      </c>
      <c r="B167" s="19" t="s">
        <v>497</v>
      </c>
      <c r="C167" s="12"/>
      <c r="D167" s="34">
        <f>D168</f>
        <v>50000</v>
      </c>
      <c r="E167" s="34">
        <f>E168</f>
        <v>50000</v>
      </c>
    </row>
    <row r="168" spans="1:5" ht="162.75" customHeight="1" x14ac:dyDescent="0.3">
      <c r="A168" s="20" t="s">
        <v>581</v>
      </c>
      <c r="B168" s="12" t="s">
        <v>498</v>
      </c>
      <c r="C168" s="12">
        <v>100</v>
      </c>
      <c r="D168" s="33">
        <v>50000</v>
      </c>
      <c r="E168" s="33">
        <v>50000</v>
      </c>
    </row>
    <row r="169" spans="1:5" ht="50.25" customHeight="1" x14ac:dyDescent="0.3">
      <c r="A169" s="16" t="s">
        <v>56</v>
      </c>
      <c r="B169" s="17" t="s">
        <v>55</v>
      </c>
      <c r="C169" s="17"/>
      <c r="D169" s="13">
        <f>D170+D172</f>
        <v>4645272.8899999997</v>
      </c>
      <c r="E169" s="13">
        <f>E170+E172</f>
        <v>3534162.47</v>
      </c>
    </row>
    <row r="170" spans="1:5" s="4" customFormat="1" ht="51.75" customHeight="1" x14ac:dyDescent="0.3">
      <c r="A170" s="18" t="s">
        <v>58</v>
      </c>
      <c r="B170" s="19" t="s">
        <v>57</v>
      </c>
      <c r="C170" s="19"/>
      <c r="D170" s="14">
        <f t="shared" ref="D170:E170" si="24">D171</f>
        <v>4567931.42</v>
      </c>
      <c r="E170" s="14">
        <f t="shared" si="24"/>
        <v>3456821</v>
      </c>
    </row>
    <row r="171" spans="1:5" s="3" customFormat="1" ht="84" customHeight="1" x14ac:dyDescent="0.3">
      <c r="A171" s="20" t="s">
        <v>149</v>
      </c>
      <c r="B171" s="12" t="s">
        <v>59</v>
      </c>
      <c r="C171" s="12">
        <v>600</v>
      </c>
      <c r="D171" s="33">
        <f>3456821+1111110.42</f>
        <v>4567931.42</v>
      </c>
      <c r="E171" s="33">
        <v>3456821</v>
      </c>
    </row>
    <row r="172" spans="1:5" s="3" customFormat="1" ht="54.75" customHeight="1" x14ac:dyDescent="0.3">
      <c r="A172" s="18" t="s">
        <v>499</v>
      </c>
      <c r="B172" s="19" t="s">
        <v>500</v>
      </c>
      <c r="C172" s="19"/>
      <c r="D172" s="34">
        <f>D173</f>
        <v>77341.47</v>
      </c>
      <c r="E172" s="34">
        <f>E173</f>
        <v>77341.47</v>
      </c>
    </row>
    <row r="173" spans="1:5" s="3" customFormat="1" ht="156" customHeight="1" x14ac:dyDescent="0.3">
      <c r="A173" s="20" t="s">
        <v>501</v>
      </c>
      <c r="B173" s="12" t="s">
        <v>502</v>
      </c>
      <c r="C173" s="12">
        <v>600</v>
      </c>
      <c r="D173" s="33">
        <v>77341.47</v>
      </c>
      <c r="E173" s="33">
        <v>77341.47</v>
      </c>
    </row>
    <row r="174" spans="1:5" ht="48" customHeight="1" x14ac:dyDescent="0.3">
      <c r="A174" s="16" t="s">
        <v>373</v>
      </c>
      <c r="B174" s="17" t="s">
        <v>60</v>
      </c>
      <c r="C174" s="17"/>
      <c r="D174" s="13">
        <f t="shared" ref="D174:E174" si="25">D175</f>
        <v>312786</v>
      </c>
      <c r="E174" s="13">
        <f t="shared" si="25"/>
        <v>311591</v>
      </c>
    </row>
    <row r="175" spans="1:5" s="4" customFormat="1" ht="51.75" customHeight="1" x14ac:dyDescent="0.3">
      <c r="A175" s="18" t="s">
        <v>62</v>
      </c>
      <c r="B175" s="19" t="s">
        <v>61</v>
      </c>
      <c r="C175" s="19"/>
      <c r="D175" s="14">
        <f>SUM(D176:D177)</f>
        <v>312786</v>
      </c>
      <c r="E175" s="14">
        <f>SUM(E176:E177)</f>
        <v>311591</v>
      </c>
    </row>
    <row r="176" spans="1:5" s="3" customFormat="1" ht="124.5" customHeight="1" x14ac:dyDescent="0.3">
      <c r="A176" s="20" t="s">
        <v>386</v>
      </c>
      <c r="B176" s="12" t="s">
        <v>63</v>
      </c>
      <c r="C176" s="12">
        <v>200</v>
      </c>
      <c r="D176" s="33">
        <f>220000-937.23</f>
        <v>219062.77</v>
      </c>
      <c r="E176" s="33">
        <f>220000-925.16</f>
        <v>219074.84</v>
      </c>
    </row>
    <row r="177" spans="1:5" s="3" customFormat="1" ht="112.5" x14ac:dyDescent="0.3">
      <c r="A177" s="20" t="s">
        <v>583</v>
      </c>
      <c r="B177" s="12" t="s">
        <v>582</v>
      </c>
      <c r="C177" s="12">
        <v>200</v>
      </c>
      <c r="D177" s="33">
        <f>92786+937.23</f>
        <v>93723.23</v>
      </c>
      <c r="E177" s="33">
        <f>91591+925.16</f>
        <v>92516.160000000003</v>
      </c>
    </row>
    <row r="178" spans="1:5" ht="47.25" customHeight="1" x14ac:dyDescent="0.3">
      <c r="A178" s="16" t="s">
        <v>172</v>
      </c>
      <c r="B178" s="17" t="s">
        <v>64</v>
      </c>
      <c r="C178" s="17"/>
      <c r="D178" s="13">
        <f t="shared" ref="D178:E178" si="26">D179</f>
        <v>50000</v>
      </c>
      <c r="E178" s="13">
        <f t="shared" si="26"/>
        <v>50000</v>
      </c>
    </row>
    <row r="179" spans="1:5" ht="45" customHeight="1" x14ac:dyDescent="0.3">
      <c r="A179" s="18" t="s">
        <v>203</v>
      </c>
      <c r="B179" s="19" t="s">
        <v>65</v>
      </c>
      <c r="C179" s="19"/>
      <c r="D179" s="14">
        <f t="shared" ref="D179:E179" si="27">SUM(D180:D180)</f>
        <v>50000</v>
      </c>
      <c r="E179" s="14">
        <f t="shared" si="27"/>
        <v>50000</v>
      </c>
    </row>
    <row r="180" spans="1:5" ht="70.5" customHeight="1" x14ac:dyDescent="0.3">
      <c r="A180" s="20" t="s">
        <v>173</v>
      </c>
      <c r="B180" s="12" t="s">
        <v>66</v>
      </c>
      <c r="C180" s="12">
        <v>200</v>
      </c>
      <c r="D180" s="33">
        <v>50000</v>
      </c>
      <c r="E180" s="33">
        <v>50000</v>
      </c>
    </row>
    <row r="181" spans="1:5" s="3" customFormat="1" ht="74.25" customHeight="1" x14ac:dyDescent="0.3">
      <c r="A181" s="16" t="s">
        <v>348</v>
      </c>
      <c r="B181" s="17" t="s">
        <v>67</v>
      </c>
      <c r="C181" s="17"/>
      <c r="D181" s="13">
        <f t="shared" ref="D181:E182" si="28">D182</f>
        <v>50000</v>
      </c>
      <c r="E181" s="13">
        <f t="shared" si="28"/>
        <v>50000</v>
      </c>
    </row>
    <row r="182" spans="1:5" ht="65.25" customHeight="1" x14ac:dyDescent="0.3">
      <c r="A182" s="18" t="s">
        <v>69</v>
      </c>
      <c r="B182" s="19" t="s">
        <v>68</v>
      </c>
      <c r="C182" s="19"/>
      <c r="D182" s="14">
        <f t="shared" si="28"/>
        <v>50000</v>
      </c>
      <c r="E182" s="14">
        <f t="shared" si="28"/>
        <v>50000</v>
      </c>
    </row>
    <row r="183" spans="1:5" s="4" customFormat="1" ht="71.25" customHeight="1" x14ac:dyDescent="0.3">
      <c r="A183" s="20" t="s">
        <v>156</v>
      </c>
      <c r="B183" s="12" t="s">
        <v>70</v>
      </c>
      <c r="C183" s="12">
        <v>200</v>
      </c>
      <c r="D183" s="33">
        <v>50000</v>
      </c>
      <c r="E183" s="33">
        <v>50000</v>
      </c>
    </row>
    <row r="184" spans="1:5" s="3" customFormat="1" ht="68.25" hidden="1" customHeight="1" x14ac:dyDescent="0.3">
      <c r="A184" s="16" t="s">
        <v>417</v>
      </c>
      <c r="B184" s="17" t="s">
        <v>71</v>
      </c>
      <c r="C184" s="17"/>
      <c r="D184" s="13">
        <v>0</v>
      </c>
      <c r="E184" s="13">
        <v>0</v>
      </c>
    </row>
    <row r="185" spans="1:5" s="3" customFormat="1" ht="73.5" customHeight="1" x14ac:dyDescent="0.3">
      <c r="A185" s="23" t="s">
        <v>376</v>
      </c>
      <c r="B185" s="17" t="s">
        <v>264</v>
      </c>
      <c r="C185" s="12"/>
      <c r="D185" s="13">
        <f>D186+D189+D190</f>
        <v>165000</v>
      </c>
      <c r="E185" s="13">
        <f>E186+E189+E190</f>
        <v>165000</v>
      </c>
    </row>
    <row r="186" spans="1:5" ht="48" customHeight="1" x14ac:dyDescent="0.3">
      <c r="A186" s="21" t="s">
        <v>265</v>
      </c>
      <c r="B186" s="19" t="s">
        <v>266</v>
      </c>
      <c r="C186" s="12"/>
      <c r="D186" s="14">
        <f t="shared" ref="D186:E186" si="29">D187+D188</f>
        <v>165000</v>
      </c>
      <c r="E186" s="14">
        <f t="shared" si="29"/>
        <v>165000</v>
      </c>
    </row>
    <row r="187" spans="1:5" ht="89.25" customHeight="1" x14ac:dyDescent="0.3">
      <c r="A187" s="11" t="s">
        <v>438</v>
      </c>
      <c r="B187" s="12" t="s">
        <v>267</v>
      </c>
      <c r="C187" s="12">
        <v>200</v>
      </c>
      <c r="D187" s="33">
        <v>133000</v>
      </c>
      <c r="E187" s="33">
        <v>133000</v>
      </c>
    </row>
    <row r="188" spans="1:5" ht="89.25" customHeight="1" x14ac:dyDescent="0.3">
      <c r="A188" s="11" t="s">
        <v>437</v>
      </c>
      <c r="B188" s="12" t="s">
        <v>267</v>
      </c>
      <c r="C188" s="12">
        <v>600</v>
      </c>
      <c r="D188" s="33">
        <v>32000</v>
      </c>
      <c r="E188" s="33">
        <v>32000</v>
      </c>
    </row>
    <row r="189" spans="1:5" s="3" customFormat="1" ht="49.5" hidden="1" customHeight="1" x14ac:dyDescent="0.3">
      <c r="A189" s="21" t="s">
        <v>268</v>
      </c>
      <c r="B189" s="19" t="s">
        <v>269</v>
      </c>
      <c r="C189" s="12"/>
      <c r="D189" s="14">
        <v>0</v>
      </c>
      <c r="E189" s="14">
        <v>0</v>
      </c>
    </row>
    <row r="190" spans="1:5" s="4" customFormat="1" ht="47.25" hidden="1" customHeight="1" x14ac:dyDescent="0.3">
      <c r="A190" s="21" t="s">
        <v>131</v>
      </c>
      <c r="B190" s="19" t="s">
        <v>270</v>
      </c>
      <c r="C190" s="19"/>
      <c r="D190" s="14">
        <v>0</v>
      </c>
      <c r="E190" s="14">
        <v>0</v>
      </c>
    </row>
    <row r="191" spans="1:5" ht="105.75" customHeight="1" x14ac:dyDescent="0.3">
      <c r="A191" s="16" t="s">
        <v>271</v>
      </c>
      <c r="B191" s="17" t="s">
        <v>72</v>
      </c>
      <c r="C191" s="17"/>
      <c r="D191" s="13">
        <f t="shared" ref="D191:E191" si="30">D192+D198+D206</f>
        <v>2669103.77</v>
      </c>
      <c r="E191" s="13">
        <f t="shared" si="30"/>
        <v>2669103.77</v>
      </c>
    </row>
    <row r="192" spans="1:5" ht="49.5" customHeight="1" x14ac:dyDescent="0.3">
      <c r="A192" s="16" t="s">
        <v>204</v>
      </c>
      <c r="B192" s="17" t="s">
        <v>73</v>
      </c>
      <c r="C192" s="17"/>
      <c r="D192" s="13">
        <f t="shared" ref="D192:E192" si="31">D193</f>
        <v>137900</v>
      </c>
      <c r="E192" s="13">
        <f t="shared" si="31"/>
        <v>137900</v>
      </c>
    </row>
    <row r="193" spans="1:5" s="4" customFormat="1" ht="66.75" customHeight="1" x14ac:dyDescent="0.3">
      <c r="A193" s="21" t="s">
        <v>272</v>
      </c>
      <c r="B193" s="19" t="s">
        <v>273</v>
      </c>
      <c r="C193" s="19"/>
      <c r="D193" s="14">
        <f>SUM(D194:D197)</f>
        <v>137900</v>
      </c>
      <c r="E193" s="14">
        <f>SUM(E194:E197)</f>
        <v>137900</v>
      </c>
    </row>
    <row r="194" spans="1:5" s="3" customFormat="1" ht="104.25" customHeight="1" x14ac:dyDescent="0.3">
      <c r="A194" s="20" t="s">
        <v>157</v>
      </c>
      <c r="B194" s="12" t="s">
        <v>274</v>
      </c>
      <c r="C194" s="12">
        <v>200</v>
      </c>
      <c r="D194" s="33">
        <v>18800</v>
      </c>
      <c r="E194" s="33">
        <v>18800</v>
      </c>
    </row>
    <row r="195" spans="1:5" ht="105.75" customHeight="1" x14ac:dyDescent="0.3">
      <c r="A195" s="20" t="s">
        <v>158</v>
      </c>
      <c r="B195" s="12" t="s">
        <v>275</v>
      </c>
      <c r="C195" s="12">
        <v>200</v>
      </c>
      <c r="D195" s="33">
        <v>4300</v>
      </c>
      <c r="E195" s="33">
        <v>4300</v>
      </c>
    </row>
    <row r="196" spans="1:5" ht="92.25" customHeight="1" x14ac:dyDescent="0.3">
      <c r="A196" s="20" t="s">
        <v>205</v>
      </c>
      <c r="B196" s="12" t="s">
        <v>276</v>
      </c>
      <c r="C196" s="12">
        <v>200</v>
      </c>
      <c r="D196" s="33">
        <v>104800</v>
      </c>
      <c r="E196" s="33">
        <v>104800</v>
      </c>
    </row>
    <row r="197" spans="1:5" ht="92.25" customHeight="1" x14ac:dyDescent="0.3">
      <c r="A197" s="20" t="s">
        <v>531</v>
      </c>
      <c r="B197" s="12" t="s">
        <v>530</v>
      </c>
      <c r="C197" s="12">
        <v>200</v>
      </c>
      <c r="D197" s="33">
        <v>10000</v>
      </c>
      <c r="E197" s="33">
        <v>10000</v>
      </c>
    </row>
    <row r="198" spans="1:5" s="4" customFormat="1" ht="37.5" x14ac:dyDescent="0.3">
      <c r="A198" s="16" t="s">
        <v>206</v>
      </c>
      <c r="B198" s="17" t="s">
        <v>74</v>
      </c>
      <c r="C198" s="17"/>
      <c r="D198" s="13">
        <f t="shared" ref="D198:E198" si="32">D199</f>
        <v>2366203.77</v>
      </c>
      <c r="E198" s="13">
        <f t="shared" si="32"/>
        <v>2366203.77</v>
      </c>
    </row>
    <row r="199" spans="1:5" s="3" customFormat="1" ht="66" customHeight="1" x14ac:dyDescent="0.3">
      <c r="A199" s="21" t="s">
        <v>277</v>
      </c>
      <c r="B199" s="19" t="s">
        <v>278</v>
      </c>
      <c r="C199" s="19"/>
      <c r="D199" s="14">
        <f>SUM(D200:D205)</f>
        <v>2366203.77</v>
      </c>
      <c r="E199" s="14">
        <f>SUM(E200:E205)</f>
        <v>2366203.77</v>
      </c>
    </row>
    <row r="200" spans="1:5" ht="75" x14ac:dyDescent="0.3">
      <c r="A200" s="20" t="s">
        <v>334</v>
      </c>
      <c r="B200" s="12" t="s">
        <v>279</v>
      </c>
      <c r="C200" s="12">
        <v>200</v>
      </c>
      <c r="D200" s="33">
        <v>100000</v>
      </c>
      <c r="E200" s="33">
        <v>100000</v>
      </c>
    </row>
    <row r="201" spans="1:5" ht="56.25" x14ac:dyDescent="0.3">
      <c r="A201" s="20" t="s">
        <v>439</v>
      </c>
      <c r="B201" s="12" t="s">
        <v>279</v>
      </c>
      <c r="C201" s="12">
        <v>800</v>
      </c>
      <c r="D201" s="33">
        <v>30000</v>
      </c>
      <c r="E201" s="33">
        <v>30000</v>
      </c>
    </row>
    <row r="202" spans="1:5" ht="75" x14ac:dyDescent="0.3">
      <c r="A202" s="11" t="s">
        <v>347</v>
      </c>
      <c r="B202" s="12" t="s">
        <v>335</v>
      </c>
      <c r="C202" s="12">
        <v>600</v>
      </c>
      <c r="D202" s="33">
        <v>190700</v>
      </c>
      <c r="E202" s="33">
        <v>190700</v>
      </c>
    </row>
    <row r="203" spans="1:5" ht="112.5" x14ac:dyDescent="0.3">
      <c r="A203" s="11" t="s">
        <v>457</v>
      </c>
      <c r="B203" s="12" t="s">
        <v>456</v>
      </c>
      <c r="C203" s="12">
        <v>100</v>
      </c>
      <c r="D203" s="33">
        <v>1888003.77</v>
      </c>
      <c r="E203" s="33">
        <v>1888003.77</v>
      </c>
    </row>
    <row r="204" spans="1:5" ht="75" x14ac:dyDescent="0.3">
      <c r="A204" s="11" t="s">
        <v>532</v>
      </c>
      <c r="B204" s="12" t="s">
        <v>456</v>
      </c>
      <c r="C204" s="12">
        <v>200</v>
      </c>
      <c r="D204" s="33">
        <v>156000</v>
      </c>
      <c r="E204" s="33">
        <v>156000</v>
      </c>
    </row>
    <row r="205" spans="1:5" ht="56.25" x14ac:dyDescent="0.3">
      <c r="A205" s="11" t="s">
        <v>533</v>
      </c>
      <c r="B205" s="12" t="s">
        <v>456</v>
      </c>
      <c r="C205" s="12">
        <v>800</v>
      </c>
      <c r="D205" s="33">
        <v>1500</v>
      </c>
      <c r="E205" s="33">
        <v>1500</v>
      </c>
    </row>
    <row r="206" spans="1:5" s="3" customFormat="1" ht="71.25" customHeight="1" x14ac:dyDescent="0.3">
      <c r="A206" s="23" t="s">
        <v>280</v>
      </c>
      <c r="B206" s="17" t="s">
        <v>281</v>
      </c>
      <c r="C206" s="12"/>
      <c r="D206" s="13">
        <f t="shared" ref="D206:E206" si="33">D207</f>
        <v>165000</v>
      </c>
      <c r="E206" s="13">
        <f t="shared" si="33"/>
        <v>165000</v>
      </c>
    </row>
    <row r="207" spans="1:5" ht="66" customHeight="1" x14ac:dyDescent="0.3">
      <c r="A207" s="21" t="s">
        <v>282</v>
      </c>
      <c r="B207" s="19" t="s">
        <v>283</v>
      </c>
      <c r="C207" s="12"/>
      <c r="D207" s="14">
        <f t="shared" ref="D207:E207" si="34">SUM(D208:D212)</f>
        <v>165000</v>
      </c>
      <c r="E207" s="14">
        <f t="shared" si="34"/>
        <v>165000</v>
      </c>
    </row>
    <row r="208" spans="1:5" s="3" customFormat="1" ht="68.25" customHeight="1" x14ac:dyDescent="0.3">
      <c r="A208" s="11" t="s">
        <v>284</v>
      </c>
      <c r="B208" s="12" t="s">
        <v>285</v>
      </c>
      <c r="C208" s="12">
        <v>200</v>
      </c>
      <c r="D208" s="33">
        <v>10000</v>
      </c>
      <c r="E208" s="33">
        <v>10000</v>
      </c>
    </row>
    <row r="209" spans="1:5" ht="63.75" customHeight="1" x14ac:dyDescent="0.3">
      <c r="A209" s="11" t="s">
        <v>159</v>
      </c>
      <c r="B209" s="12" t="s">
        <v>286</v>
      </c>
      <c r="C209" s="12">
        <v>200</v>
      </c>
      <c r="D209" s="33">
        <v>10000</v>
      </c>
      <c r="E209" s="33">
        <v>10000</v>
      </c>
    </row>
    <row r="210" spans="1:5" ht="85.5" customHeight="1" x14ac:dyDescent="0.3">
      <c r="A210" s="11" t="s">
        <v>287</v>
      </c>
      <c r="B210" s="12" t="s">
        <v>288</v>
      </c>
      <c r="C210" s="12">
        <v>200</v>
      </c>
      <c r="D210" s="33">
        <v>81000</v>
      </c>
      <c r="E210" s="33">
        <v>81000</v>
      </c>
    </row>
    <row r="211" spans="1:5" ht="51" customHeight="1" x14ac:dyDescent="0.3">
      <c r="A211" s="11" t="s">
        <v>343</v>
      </c>
      <c r="B211" s="12" t="s">
        <v>288</v>
      </c>
      <c r="C211" s="12">
        <v>800</v>
      </c>
      <c r="D211" s="33">
        <v>20000</v>
      </c>
      <c r="E211" s="33">
        <v>20000</v>
      </c>
    </row>
    <row r="212" spans="1:5" ht="111" customHeight="1" x14ac:dyDescent="0.3">
      <c r="A212" s="11" t="s">
        <v>440</v>
      </c>
      <c r="B212" s="12" t="s">
        <v>289</v>
      </c>
      <c r="C212" s="12">
        <v>600</v>
      </c>
      <c r="D212" s="33">
        <v>44000</v>
      </c>
      <c r="E212" s="33">
        <v>44000</v>
      </c>
    </row>
    <row r="213" spans="1:5" s="4" customFormat="1" ht="66" customHeight="1" x14ac:dyDescent="0.3">
      <c r="A213" s="16" t="s">
        <v>207</v>
      </c>
      <c r="B213" s="17" t="s">
        <v>75</v>
      </c>
      <c r="C213" s="17"/>
      <c r="D213" s="13">
        <f>D214+D220+D225+D229</f>
        <v>1149000</v>
      </c>
      <c r="E213" s="13">
        <f>E214+E220+E225+E229</f>
        <v>1149000</v>
      </c>
    </row>
    <row r="214" spans="1:5" s="3" customFormat="1" ht="49.5" customHeight="1" x14ac:dyDescent="0.3">
      <c r="A214" s="16" t="s">
        <v>208</v>
      </c>
      <c r="B214" s="17" t="s">
        <v>76</v>
      </c>
      <c r="C214" s="17"/>
      <c r="D214" s="13">
        <f t="shared" ref="D214:E214" si="35">D215</f>
        <v>135000</v>
      </c>
      <c r="E214" s="13">
        <f t="shared" si="35"/>
        <v>135000</v>
      </c>
    </row>
    <row r="215" spans="1:5" ht="49.5" customHeight="1" x14ac:dyDescent="0.3">
      <c r="A215" s="18" t="s">
        <v>209</v>
      </c>
      <c r="B215" s="19" t="s">
        <v>77</v>
      </c>
      <c r="C215" s="19"/>
      <c r="D215" s="14">
        <f t="shared" ref="D215:E215" si="36">SUM(D216:D219)</f>
        <v>135000</v>
      </c>
      <c r="E215" s="14">
        <f t="shared" si="36"/>
        <v>135000</v>
      </c>
    </row>
    <row r="216" spans="1:5" s="4" customFormat="1" ht="93.75" x14ac:dyDescent="0.3">
      <c r="A216" s="11" t="s">
        <v>290</v>
      </c>
      <c r="B216" s="12" t="s">
        <v>78</v>
      </c>
      <c r="C216" s="12">
        <v>800</v>
      </c>
      <c r="D216" s="33">
        <v>45000</v>
      </c>
      <c r="E216" s="33">
        <v>45000</v>
      </c>
    </row>
    <row r="217" spans="1:5" s="4" customFormat="1" ht="104.25" customHeight="1" x14ac:dyDescent="0.3">
      <c r="A217" s="11" t="s">
        <v>291</v>
      </c>
      <c r="B217" s="12" t="s">
        <v>79</v>
      </c>
      <c r="C217" s="12">
        <v>800</v>
      </c>
      <c r="D217" s="33">
        <v>45000</v>
      </c>
      <c r="E217" s="33">
        <v>45000</v>
      </c>
    </row>
    <row r="218" spans="1:5" s="3" customFormat="1" ht="105.75" customHeight="1" x14ac:dyDescent="0.3">
      <c r="A218" s="11" t="s">
        <v>292</v>
      </c>
      <c r="B218" s="12" t="s">
        <v>293</v>
      </c>
      <c r="C218" s="12">
        <v>800</v>
      </c>
      <c r="D218" s="33">
        <v>20000</v>
      </c>
      <c r="E218" s="33">
        <v>20000</v>
      </c>
    </row>
    <row r="219" spans="1:5" ht="84" customHeight="1" x14ac:dyDescent="0.3">
      <c r="A219" s="11" t="s">
        <v>294</v>
      </c>
      <c r="B219" s="12" t="s">
        <v>295</v>
      </c>
      <c r="C219" s="12">
        <v>800</v>
      </c>
      <c r="D219" s="33">
        <v>25000</v>
      </c>
      <c r="E219" s="33">
        <v>25000</v>
      </c>
    </row>
    <row r="220" spans="1:5" ht="56.25" x14ac:dyDescent="0.3">
      <c r="A220" s="16" t="s">
        <v>210</v>
      </c>
      <c r="B220" s="17" t="s">
        <v>80</v>
      </c>
      <c r="C220" s="17"/>
      <c r="D220" s="13">
        <f t="shared" ref="D220:E220" si="37">D221</f>
        <v>460000</v>
      </c>
      <c r="E220" s="13">
        <f t="shared" si="37"/>
        <v>460000</v>
      </c>
    </row>
    <row r="221" spans="1:5" s="3" customFormat="1" ht="52.5" customHeight="1" x14ac:dyDescent="0.3">
      <c r="A221" s="18" t="s">
        <v>211</v>
      </c>
      <c r="B221" s="19" t="s">
        <v>81</v>
      </c>
      <c r="C221" s="19"/>
      <c r="D221" s="14">
        <f>SUM(D222:D224)</f>
        <v>460000</v>
      </c>
      <c r="E221" s="14">
        <f>SUM(E222:E224)</f>
        <v>460000</v>
      </c>
    </row>
    <row r="222" spans="1:5" s="4" customFormat="1" ht="99.75" customHeight="1" x14ac:dyDescent="0.3">
      <c r="A222" s="11" t="s">
        <v>413</v>
      </c>
      <c r="B222" s="12" t="s">
        <v>392</v>
      </c>
      <c r="C222" s="12">
        <v>200</v>
      </c>
      <c r="D222" s="33">
        <v>150000</v>
      </c>
      <c r="E222" s="33">
        <v>150000</v>
      </c>
    </row>
    <row r="223" spans="1:5" s="4" customFormat="1" ht="115.5" customHeight="1" x14ac:dyDescent="0.3">
      <c r="A223" s="11" t="s">
        <v>394</v>
      </c>
      <c r="B223" s="12" t="s">
        <v>393</v>
      </c>
      <c r="C223" s="12">
        <v>200</v>
      </c>
      <c r="D223" s="33">
        <v>210000</v>
      </c>
      <c r="E223" s="33">
        <v>210000</v>
      </c>
    </row>
    <row r="224" spans="1:5" s="4" customFormat="1" ht="77.25" customHeight="1" x14ac:dyDescent="0.3">
      <c r="A224" s="11" t="s">
        <v>535</v>
      </c>
      <c r="B224" s="12" t="s">
        <v>534</v>
      </c>
      <c r="C224" s="12">
        <v>200</v>
      </c>
      <c r="D224" s="33">
        <v>100000</v>
      </c>
      <c r="E224" s="33">
        <v>100000</v>
      </c>
    </row>
    <row r="225" spans="1:5" s="3" customFormat="1" ht="85.5" customHeight="1" x14ac:dyDescent="0.3">
      <c r="A225" s="16" t="s">
        <v>212</v>
      </c>
      <c r="B225" s="17" t="s">
        <v>82</v>
      </c>
      <c r="C225" s="17"/>
      <c r="D225" s="13">
        <f t="shared" ref="D225:E225" si="38">D226</f>
        <v>254000</v>
      </c>
      <c r="E225" s="13">
        <f t="shared" si="38"/>
        <v>254000</v>
      </c>
    </row>
    <row r="226" spans="1:5" ht="50.25" customHeight="1" x14ac:dyDescent="0.3">
      <c r="A226" s="18" t="s">
        <v>213</v>
      </c>
      <c r="B226" s="19" t="s">
        <v>83</v>
      </c>
      <c r="C226" s="19"/>
      <c r="D226" s="14">
        <f>SUM(D227:D228)</f>
        <v>254000</v>
      </c>
      <c r="E226" s="14">
        <f>SUM(E227:E228)</f>
        <v>254000</v>
      </c>
    </row>
    <row r="227" spans="1:5" ht="136.5" customHeight="1" x14ac:dyDescent="0.3">
      <c r="A227" s="20" t="s">
        <v>418</v>
      </c>
      <c r="B227" s="12" t="s">
        <v>296</v>
      </c>
      <c r="C227" s="12">
        <v>200</v>
      </c>
      <c r="D227" s="33">
        <v>154000</v>
      </c>
      <c r="E227" s="33">
        <v>154000</v>
      </c>
    </row>
    <row r="228" spans="1:5" ht="103.5" customHeight="1" x14ac:dyDescent="0.3">
      <c r="A228" s="20" t="s">
        <v>536</v>
      </c>
      <c r="B228" s="12" t="s">
        <v>559</v>
      </c>
      <c r="C228" s="12">
        <v>200</v>
      </c>
      <c r="D228" s="33">
        <v>100000</v>
      </c>
      <c r="E228" s="33">
        <v>100000</v>
      </c>
    </row>
    <row r="229" spans="1:5" s="3" customFormat="1" ht="129.75" customHeight="1" x14ac:dyDescent="0.3">
      <c r="A229" s="23" t="s">
        <v>424</v>
      </c>
      <c r="B229" s="17" t="s">
        <v>425</v>
      </c>
      <c r="C229" s="12"/>
      <c r="D229" s="13">
        <f t="shared" ref="D229:E229" si="39">D230</f>
        <v>300000</v>
      </c>
      <c r="E229" s="13">
        <f t="shared" si="39"/>
        <v>300000</v>
      </c>
    </row>
    <row r="230" spans="1:5" ht="102.75" customHeight="1" x14ac:dyDescent="0.3">
      <c r="A230" s="21" t="s">
        <v>414</v>
      </c>
      <c r="B230" s="19" t="s">
        <v>426</v>
      </c>
      <c r="C230" s="12"/>
      <c r="D230" s="14">
        <f t="shared" ref="D230:E230" si="40">SUM(D231:D232)</f>
        <v>300000</v>
      </c>
      <c r="E230" s="14">
        <f t="shared" si="40"/>
        <v>300000</v>
      </c>
    </row>
    <row r="231" spans="1:5" ht="114" customHeight="1" x14ac:dyDescent="0.3">
      <c r="A231" s="11" t="s">
        <v>395</v>
      </c>
      <c r="B231" s="12" t="s">
        <v>427</v>
      </c>
      <c r="C231" s="12">
        <v>200</v>
      </c>
      <c r="D231" s="33">
        <v>200000</v>
      </c>
      <c r="E231" s="33">
        <v>200000</v>
      </c>
    </row>
    <row r="232" spans="1:5" ht="89.25" customHeight="1" x14ac:dyDescent="0.3">
      <c r="A232" s="11" t="s">
        <v>396</v>
      </c>
      <c r="B232" s="12" t="s">
        <v>428</v>
      </c>
      <c r="C232" s="12">
        <v>200</v>
      </c>
      <c r="D232" s="33">
        <v>100000</v>
      </c>
      <c r="E232" s="33">
        <v>100000</v>
      </c>
    </row>
    <row r="233" spans="1:5" ht="83.25" customHeight="1" x14ac:dyDescent="0.3">
      <c r="A233" s="16" t="s">
        <v>419</v>
      </c>
      <c r="B233" s="17" t="s">
        <v>84</v>
      </c>
      <c r="C233" s="17"/>
      <c r="D233" s="13">
        <f t="shared" ref="D233:E234" si="41">D234</f>
        <v>110000</v>
      </c>
      <c r="E233" s="13">
        <f t="shared" si="41"/>
        <v>110000</v>
      </c>
    </row>
    <row r="234" spans="1:5" s="4" customFormat="1" ht="66.75" customHeight="1" x14ac:dyDescent="0.3">
      <c r="A234" s="16" t="s">
        <v>214</v>
      </c>
      <c r="B234" s="17" t="s">
        <v>85</v>
      </c>
      <c r="C234" s="17"/>
      <c r="D234" s="13">
        <f t="shared" si="41"/>
        <v>110000</v>
      </c>
      <c r="E234" s="13">
        <f t="shared" si="41"/>
        <v>110000</v>
      </c>
    </row>
    <row r="235" spans="1:5" s="4" customFormat="1" ht="65.25" customHeight="1" x14ac:dyDescent="0.3">
      <c r="A235" s="18" t="s">
        <v>215</v>
      </c>
      <c r="B235" s="19" t="s">
        <v>86</v>
      </c>
      <c r="C235" s="19"/>
      <c r="D235" s="14">
        <f>SUM(D236:D236)</f>
        <v>110000</v>
      </c>
      <c r="E235" s="14">
        <f>SUM(E236:E236)</f>
        <v>110000</v>
      </c>
    </row>
    <row r="236" spans="1:5" s="3" customFormat="1" ht="106.5" customHeight="1" x14ac:dyDescent="0.3">
      <c r="A236" s="20" t="s">
        <v>338</v>
      </c>
      <c r="B236" s="12" t="s">
        <v>87</v>
      </c>
      <c r="C236" s="12">
        <v>600</v>
      </c>
      <c r="D236" s="33">
        <v>110000</v>
      </c>
      <c r="E236" s="33">
        <v>110000</v>
      </c>
    </row>
    <row r="237" spans="1:5" ht="103.5" customHeight="1" x14ac:dyDescent="0.3">
      <c r="A237" s="16" t="s">
        <v>89</v>
      </c>
      <c r="B237" s="17" t="s">
        <v>88</v>
      </c>
      <c r="C237" s="17"/>
      <c r="D237" s="13">
        <f>D238+D249+D246</f>
        <v>254800</v>
      </c>
      <c r="E237" s="13">
        <f>E238+E249+E246</f>
        <v>254800</v>
      </c>
    </row>
    <row r="238" spans="1:5" ht="85.5" customHeight="1" x14ac:dyDescent="0.3">
      <c r="A238" s="16" t="s">
        <v>163</v>
      </c>
      <c r="B238" s="17" t="s">
        <v>90</v>
      </c>
      <c r="C238" s="17"/>
      <c r="D238" s="13">
        <f t="shared" ref="D238:E238" si="42">D239+D242</f>
        <v>80000</v>
      </c>
      <c r="E238" s="13">
        <f t="shared" si="42"/>
        <v>80000</v>
      </c>
    </row>
    <row r="239" spans="1:5" ht="70.5" customHeight="1" x14ac:dyDescent="0.3">
      <c r="A239" s="18" t="s">
        <v>92</v>
      </c>
      <c r="B239" s="19" t="s">
        <v>91</v>
      </c>
      <c r="C239" s="19"/>
      <c r="D239" s="14">
        <f t="shared" ref="D239:E239" si="43">SUM(D240:D241)</f>
        <v>20000</v>
      </c>
      <c r="E239" s="14">
        <f t="shared" si="43"/>
        <v>20000</v>
      </c>
    </row>
    <row r="240" spans="1:5" s="4" customFormat="1" ht="102" customHeight="1" x14ac:dyDescent="0.3">
      <c r="A240" s="20" t="s">
        <v>160</v>
      </c>
      <c r="B240" s="12" t="s">
        <v>93</v>
      </c>
      <c r="C240" s="12">
        <v>200</v>
      </c>
      <c r="D240" s="33">
        <v>10000</v>
      </c>
      <c r="E240" s="33">
        <v>10000</v>
      </c>
    </row>
    <row r="241" spans="1:5" s="4" customFormat="1" ht="87.75" customHeight="1" x14ac:dyDescent="0.3">
      <c r="A241" s="20" t="s">
        <v>297</v>
      </c>
      <c r="B241" s="12" t="s">
        <v>94</v>
      </c>
      <c r="C241" s="12">
        <v>200</v>
      </c>
      <c r="D241" s="33">
        <v>10000</v>
      </c>
      <c r="E241" s="33">
        <v>10000</v>
      </c>
    </row>
    <row r="242" spans="1:5" ht="67.5" customHeight="1" x14ac:dyDescent="0.3">
      <c r="A242" s="18" t="s">
        <v>96</v>
      </c>
      <c r="B242" s="19" t="s">
        <v>95</v>
      </c>
      <c r="C242" s="19"/>
      <c r="D242" s="14">
        <f>SUM(D243:D245)</f>
        <v>60000</v>
      </c>
      <c r="E242" s="14">
        <f>SUM(E243:E245)</f>
        <v>60000</v>
      </c>
    </row>
    <row r="243" spans="1:5" ht="87" customHeight="1" x14ac:dyDescent="0.3">
      <c r="A243" s="20" t="s">
        <v>170</v>
      </c>
      <c r="B243" s="12" t="s">
        <v>97</v>
      </c>
      <c r="C243" s="12">
        <v>200</v>
      </c>
      <c r="D243" s="33">
        <v>30000</v>
      </c>
      <c r="E243" s="33">
        <v>30000</v>
      </c>
    </row>
    <row r="244" spans="1:5" ht="83.25" customHeight="1" x14ac:dyDescent="0.3">
      <c r="A244" s="20" t="s">
        <v>161</v>
      </c>
      <c r="B244" s="12" t="s">
        <v>98</v>
      </c>
      <c r="C244" s="12">
        <v>200</v>
      </c>
      <c r="D244" s="33">
        <v>10000</v>
      </c>
      <c r="E244" s="33">
        <v>10000</v>
      </c>
    </row>
    <row r="245" spans="1:5" ht="83.25" customHeight="1" x14ac:dyDescent="0.3">
      <c r="A245" s="20" t="s">
        <v>568</v>
      </c>
      <c r="B245" s="12" t="s">
        <v>98</v>
      </c>
      <c r="C245" s="12">
        <v>600</v>
      </c>
      <c r="D245" s="33">
        <v>20000</v>
      </c>
      <c r="E245" s="33">
        <v>20000</v>
      </c>
    </row>
    <row r="246" spans="1:5" ht="84.75" customHeight="1" x14ac:dyDescent="0.3">
      <c r="A246" s="16" t="s">
        <v>540</v>
      </c>
      <c r="B246" s="17" t="s">
        <v>537</v>
      </c>
      <c r="C246" s="17"/>
      <c r="D246" s="32">
        <f>D247</f>
        <v>20000</v>
      </c>
      <c r="E246" s="32">
        <f>E247</f>
        <v>20000</v>
      </c>
    </row>
    <row r="247" spans="1:5" ht="84.75" customHeight="1" x14ac:dyDescent="0.3">
      <c r="A247" s="18" t="s">
        <v>541</v>
      </c>
      <c r="B247" s="19" t="s">
        <v>538</v>
      </c>
      <c r="C247" s="19"/>
      <c r="D247" s="34">
        <f>D248</f>
        <v>20000</v>
      </c>
      <c r="E247" s="34">
        <f>E248</f>
        <v>20000</v>
      </c>
    </row>
    <row r="248" spans="1:5" ht="99.75" customHeight="1" x14ac:dyDescent="0.3">
      <c r="A248" s="20" t="s">
        <v>542</v>
      </c>
      <c r="B248" s="12" t="s">
        <v>539</v>
      </c>
      <c r="C248" s="12">
        <v>300</v>
      </c>
      <c r="D248" s="33">
        <v>20000</v>
      </c>
      <c r="E248" s="33">
        <v>20000</v>
      </c>
    </row>
    <row r="249" spans="1:5" s="3" customFormat="1" ht="128.25" customHeight="1" x14ac:dyDescent="0.3">
      <c r="A249" s="16" t="s">
        <v>339</v>
      </c>
      <c r="B249" s="17" t="s">
        <v>99</v>
      </c>
      <c r="C249" s="17"/>
      <c r="D249" s="13">
        <f t="shared" ref="D249:E250" si="44">D250</f>
        <v>154800</v>
      </c>
      <c r="E249" s="13">
        <f t="shared" si="44"/>
        <v>154800</v>
      </c>
    </row>
    <row r="250" spans="1:5" ht="70.5" customHeight="1" x14ac:dyDescent="0.3">
      <c r="A250" s="18" t="s">
        <v>340</v>
      </c>
      <c r="B250" s="19" t="s">
        <v>100</v>
      </c>
      <c r="C250" s="19"/>
      <c r="D250" s="14">
        <f t="shared" si="44"/>
        <v>154800</v>
      </c>
      <c r="E250" s="14">
        <f t="shared" si="44"/>
        <v>154800</v>
      </c>
    </row>
    <row r="251" spans="1:5" ht="144.75" customHeight="1" x14ac:dyDescent="0.3">
      <c r="A251" s="20" t="s">
        <v>341</v>
      </c>
      <c r="B251" s="12" t="s">
        <v>101</v>
      </c>
      <c r="C251" s="12">
        <v>600</v>
      </c>
      <c r="D251" s="33">
        <v>154800</v>
      </c>
      <c r="E251" s="33">
        <v>154800</v>
      </c>
    </row>
    <row r="252" spans="1:5" ht="90" customHeight="1" x14ac:dyDescent="0.3">
      <c r="A252" s="16" t="s">
        <v>216</v>
      </c>
      <c r="B252" s="17" t="s">
        <v>102</v>
      </c>
      <c r="C252" s="17"/>
      <c r="D252" s="13">
        <f>D253+D270+D278+D267</f>
        <v>55851962.719999999</v>
      </c>
      <c r="E252" s="13">
        <f>E253+E270+E278+E267</f>
        <v>51101605.039999992</v>
      </c>
    </row>
    <row r="253" spans="1:5" ht="93" customHeight="1" x14ac:dyDescent="0.3">
      <c r="A253" s="16" t="s">
        <v>217</v>
      </c>
      <c r="B253" s="17" t="s">
        <v>103</v>
      </c>
      <c r="C253" s="17"/>
      <c r="D253" s="13">
        <f>D254+D256+D260+D264</f>
        <v>45373866.029999994</v>
      </c>
      <c r="E253" s="13">
        <f>E254+E256+E260+E264</f>
        <v>44532417.769999996</v>
      </c>
    </row>
    <row r="254" spans="1:5" s="4" customFormat="1" ht="63" customHeight="1" x14ac:dyDescent="0.3">
      <c r="A254" s="18" t="s">
        <v>105</v>
      </c>
      <c r="B254" s="19" t="s">
        <v>104</v>
      </c>
      <c r="C254" s="19"/>
      <c r="D254" s="14">
        <f t="shared" ref="D254:E254" si="45">D255</f>
        <v>1408869.05</v>
      </c>
      <c r="E254" s="14">
        <f t="shared" si="45"/>
        <v>1408869.05</v>
      </c>
    </row>
    <row r="255" spans="1:5" s="3" customFormat="1" ht="126" customHeight="1" x14ac:dyDescent="0.3">
      <c r="A255" s="20" t="s">
        <v>140</v>
      </c>
      <c r="B255" s="12" t="s">
        <v>106</v>
      </c>
      <c r="C255" s="12">
        <v>100</v>
      </c>
      <c r="D255" s="33">
        <f>1083311.29+325557.76</f>
        <v>1408869.05</v>
      </c>
      <c r="E255" s="33">
        <f>1083311.29+325557.76</f>
        <v>1408869.05</v>
      </c>
    </row>
    <row r="256" spans="1:5" ht="88.5" customHeight="1" x14ac:dyDescent="0.3">
      <c r="A256" s="18" t="s">
        <v>218</v>
      </c>
      <c r="B256" s="19" t="s">
        <v>107</v>
      </c>
      <c r="C256" s="19"/>
      <c r="D256" s="14">
        <f>SUM(D257:D259)</f>
        <v>43481937.479999997</v>
      </c>
      <c r="E256" s="14">
        <f t="shared" ref="E256" si="46">SUM(E257:E259)</f>
        <v>42640489.219999999</v>
      </c>
    </row>
    <row r="257" spans="1:5" ht="150" x14ac:dyDescent="0.3">
      <c r="A257" s="20" t="s">
        <v>219</v>
      </c>
      <c r="B257" s="12" t="s">
        <v>108</v>
      </c>
      <c r="C257" s="12">
        <v>100</v>
      </c>
      <c r="D257" s="33">
        <f>35417825.72+1420292.87+1374041.89+1404961.83+1179303.69+632081.06</f>
        <v>41428507.059999995</v>
      </c>
      <c r="E257" s="33">
        <f>35417825.72+578844.61+1374041.89+1404961.83+1179303.69+632081.06</f>
        <v>40587058.799999997</v>
      </c>
    </row>
    <row r="258" spans="1:5" s="4" customFormat="1" ht="93.75" x14ac:dyDescent="0.3">
      <c r="A258" s="20" t="s">
        <v>420</v>
      </c>
      <c r="B258" s="12" t="s">
        <v>108</v>
      </c>
      <c r="C258" s="12">
        <v>200</v>
      </c>
      <c r="D258" s="33">
        <f>1943430.42+4000</f>
        <v>1947430.42</v>
      </c>
      <c r="E258" s="33">
        <f>1943430.42+4000</f>
        <v>1947430.42</v>
      </c>
    </row>
    <row r="259" spans="1:5" s="3" customFormat="1" ht="75" x14ac:dyDescent="0.3">
      <c r="A259" s="20" t="s">
        <v>220</v>
      </c>
      <c r="B259" s="12" t="s">
        <v>108</v>
      </c>
      <c r="C259" s="12">
        <v>800</v>
      </c>
      <c r="D259" s="33">
        <f>110000-4000</f>
        <v>106000</v>
      </c>
      <c r="E259" s="33">
        <f>110000-4000</f>
        <v>106000</v>
      </c>
    </row>
    <row r="260" spans="1:5" s="4" customFormat="1" ht="66" customHeight="1" x14ac:dyDescent="0.3">
      <c r="A260" s="18" t="s">
        <v>221</v>
      </c>
      <c r="B260" s="19" t="s">
        <v>109</v>
      </c>
      <c r="C260" s="19"/>
      <c r="D260" s="14">
        <f>SUM(D261:D263)</f>
        <v>63500</v>
      </c>
      <c r="E260" s="14">
        <f>SUM(E261:E263)</f>
        <v>63500</v>
      </c>
    </row>
    <row r="261" spans="1:5" s="4" customFormat="1" ht="123" customHeight="1" x14ac:dyDescent="0.3">
      <c r="A261" s="20" t="s">
        <v>222</v>
      </c>
      <c r="B261" s="12" t="s">
        <v>110</v>
      </c>
      <c r="C261" s="12">
        <v>200</v>
      </c>
      <c r="D261" s="33">
        <v>8000</v>
      </c>
      <c r="E261" s="33">
        <v>8000</v>
      </c>
    </row>
    <row r="262" spans="1:5" s="3" customFormat="1" ht="125.25" customHeight="1" x14ac:dyDescent="0.3">
      <c r="A262" s="26" t="s">
        <v>223</v>
      </c>
      <c r="B262" s="12" t="s">
        <v>136</v>
      </c>
      <c r="C262" s="12">
        <v>200</v>
      </c>
      <c r="D262" s="33">
        <v>54000</v>
      </c>
      <c r="E262" s="33">
        <v>54000</v>
      </c>
    </row>
    <row r="263" spans="1:5" ht="102.75" customHeight="1" x14ac:dyDescent="0.3">
      <c r="A263" s="20" t="s">
        <v>224</v>
      </c>
      <c r="B263" s="12" t="s">
        <v>111</v>
      </c>
      <c r="C263" s="12">
        <v>200</v>
      </c>
      <c r="D263" s="33">
        <v>1500</v>
      </c>
      <c r="E263" s="33">
        <v>1500</v>
      </c>
    </row>
    <row r="264" spans="1:5" ht="66" customHeight="1" x14ac:dyDescent="0.3">
      <c r="A264" s="18" t="s">
        <v>113</v>
      </c>
      <c r="B264" s="19" t="s">
        <v>112</v>
      </c>
      <c r="C264" s="19"/>
      <c r="D264" s="14">
        <f>SUM(D265:D266)</f>
        <v>419559.5</v>
      </c>
      <c r="E264" s="14">
        <f>SUM(E265:E266)</f>
        <v>419559.5</v>
      </c>
    </row>
    <row r="265" spans="1:5" ht="89.25" customHeight="1" x14ac:dyDescent="0.3">
      <c r="A265" s="20" t="s">
        <v>168</v>
      </c>
      <c r="B265" s="12" t="s">
        <v>114</v>
      </c>
      <c r="C265" s="12">
        <v>200</v>
      </c>
      <c r="D265" s="33">
        <v>11125.5</v>
      </c>
      <c r="E265" s="33">
        <v>11125.5</v>
      </c>
    </row>
    <row r="266" spans="1:5" ht="146.25" customHeight="1" x14ac:dyDescent="0.3">
      <c r="A266" s="20" t="s">
        <v>169</v>
      </c>
      <c r="B266" s="12" t="s">
        <v>115</v>
      </c>
      <c r="C266" s="12">
        <v>100</v>
      </c>
      <c r="D266" s="5">
        <v>408434</v>
      </c>
      <c r="E266" s="5">
        <v>408434</v>
      </c>
    </row>
    <row r="267" spans="1:5" ht="130.5" customHeight="1" x14ac:dyDescent="0.3">
      <c r="A267" s="23" t="s">
        <v>560</v>
      </c>
      <c r="B267" s="17" t="s">
        <v>561</v>
      </c>
      <c r="C267" s="12"/>
      <c r="D267" s="13">
        <f>D268</f>
        <v>3908909.42</v>
      </c>
      <c r="E267" s="13">
        <f>E268</f>
        <v>0</v>
      </c>
    </row>
    <row r="268" spans="1:5" ht="98.25" customHeight="1" x14ac:dyDescent="0.3">
      <c r="A268" s="18" t="s">
        <v>562</v>
      </c>
      <c r="B268" s="19" t="s">
        <v>563</v>
      </c>
      <c r="C268" s="12"/>
      <c r="D268" s="14">
        <f>D269</f>
        <v>3908909.42</v>
      </c>
      <c r="E268" s="14">
        <f>E269</f>
        <v>0</v>
      </c>
    </row>
    <row r="269" spans="1:5" ht="110.25" customHeight="1" x14ac:dyDescent="0.3">
      <c r="A269" s="20" t="s">
        <v>564</v>
      </c>
      <c r="B269" s="12" t="s">
        <v>565</v>
      </c>
      <c r="C269" s="12">
        <v>600</v>
      </c>
      <c r="D269" s="5">
        <f>3850482.69+25776.48+8530.8+24119.45</f>
        <v>3908909.42</v>
      </c>
      <c r="E269" s="5">
        <v>0</v>
      </c>
    </row>
    <row r="270" spans="1:5" ht="56.25" x14ac:dyDescent="0.3">
      <c r="A270" s="23" t="s">
        <v>298</v>
      </c>
      <c r="B270" s="17" t="s">
        <v>299</v>
      </c>
      <c r="C270" s="17"/>
      <c r="D270" s="13">
        <f t="shared" ref="D270:E270" si="47">D271+D275</f>
        <v>320404</v>
      </c>
      <c r="E270" s="13">
        <f t="shared" si="47"/>
        <v>320404</v>
      </c>
    </row>
    <row r="271" spans="1:5" ht="68.25" customHeight="1" x14ac:dyDescent="0.3">
      <c r="A271" s="21" t="s">
        <v>300</v>
      </c>
      <c r="B271" s="19" t="s">
        <v>301</v>
      </c>
      <c r="C271" s="19"/>
      <c r="D271" s="14">
        <f>SUM(D272:D274)</f>
        <v>120404</v>
      </c>
      <c r="E271" s="14">
        <f t="shared" ref="E271" si="48">SUM(E272:E274)</f>
        <v>120404</v>
      </c>
    </row>
    <row r="272" spans="1:5" s="3" customFormat="1" ht="105.75" customHeight="1" x14ac:dyDescent="0.3">
      <c r="A272" s="11" t="s">
        <v>302</v>
      </c>
      <c r="B272" s="12" t="s">
        <v>303</v>
      </c>
      <c r="C272" s="12">
        <v>200</v>
      </c>
      <c r="D272" s="33">
        <v>40450</v>
      </c>
      <c r="E272" s="33">
        <v>40450</v>
      </c>
    </row>
    <row r="273" spans="1:5" ht="122.25" customHeight="1" x14ac:dyDescent="0.3">
      <c r="A273" s="11" t="s">
        <v>304</v>
      </c>
      <c r="B273" s="12" t="s">
        <v>305</v>
      </c>
      <c r="C273" s="12">
        <v>200</v>
      </c>
      <c r="D273" s="33">
        <v>65000</v>
      </c>
      <c r="E273" s="33">
        <v>65000</v>
      </c>
    </row>
    <row r="274" spans="1:5" s="3" customFormat="1" ht="99.75" customHeight="1" x14ac:dyDescent="0.3">
      <c r="A274" s="11" t="s">
        <v>306</v>
      </c>
      <c r="B274" s="12" t="s">
        <v>307</v>
      </c>
      <c r="C274" s="12">
        <v>200</v>
      </c>
      <c r="D274" s="33">
        <v>14954</v>
      </c>
      <c r="E274" s="33">
        <v>14954</v>
      </c>
    </row>
    <row r="275" spans="1:5" ht="45.75" customHeight="1" x14ac:dyDescent="0.3">
      <c r="A275" s="21" t="s">
        <v>308</v>
      </c>
      <c r="B275" s="19" t="s">
        <v>309</v>
      </c>
      <c r="C275" s="12"/>
      <c r="D275" s="14">
        <f t="shared" ref="D275:E275" si="49">SUM(D276:D277)</f>
        <v>200000</v>
      </c>
      <c r="E275" s="14">
        <f t="shared" si="49"/>
        <v>200000</v>
      </c>
    </row>
    <row r="276" spans="1:5" ht="82.5" customHeight="1" x14ac:dyDescent="0.3">
      <c r="A276" s="11" t="s">
        <v>310</v>
      </c>
      <c r="B276" s="12" t="s">
        <v>311</v>
      </c>
      <c r="C276" s="12">
        <v>200</v>
      </c>
      <c r="D276" s="33">
        <v>150000</v>
      </c>
      <c r="E276" s="33">
        <v>150000</v>
      </c>
    </row>
    <row r="277" spans="1:5" ht="67.5" customHeight="1" x14ac:dyDescent="0.3">
      <c r="A277" s="11" t="s">
        <v>444</v>
      </c>
      <c r="B277" s="12" t="s">
        <v>443</v>
      </c>
      <c r="C277" s="12">
        <v>200</v>
      </c>
      <c r="D277" s="33">
        <v>50000</v>
      </c>
      <c r="E277" s="33">
        <v>50000</v>
      </c>
    </row>
    <row r="278" spans="1:5" ht="95.25" customHeight="1" x14ac:dyDescent="0.3">
      <c r="A278" s="23" t="s">
        <v>465</v>
      </c>
      <c r="B278" s="17" t="s">
        <v>466</v>
      </c>
      <c r="C278" s="17"/>
      <c r="D278" s="13">
        <f t="shared" ref="D278:E278" si="50">D279</f>
        <v>6248783.2699999996</v>
      </c>
      <c r="E278" s="13">
        <f t="shared" si="50"/>
        <v>6248783.2699999996</v>
      </c>
    </row>
    <row r="279" spans="1:5" ht="51.75" customHeight="1" x14ac:dyDescent="0.3">
      <c r="A279" s="21" t="s">
        <v>467</v>
      </c>
      <c r="B279" s="19" t="s">
        <v>468</v>
      </c>
      <c r="C279" s="19"/>
      <c r="D279" s="14">
        <f t="shared" ref="D279:E279" si="51">SUM(D280:D281)</f>
        <v>6248783.2699999996</v>
      </c>
      <c r="E279" s="14">
        <f t="shared" si="51"/>
        <v>6248783.2699999996</v>
      </c>
    </row>
    <row r="280" spans="1:5" ht="165.75" customHeight="1" x14ac:dyDescent="0.3">
      <c r="A280" s="11" t="s">
        <v>469</v>
      </c>
      <c r="B280" s="12" t="s">
        <v>470</v>
      </c>
      <c r="C280" s="12">
        <v>100</v>
      </c>
      <c r="D280" s="33">
        <f>4428154.93+1320628.34</f>
        <v>5748783.2699999996</v>
      </c>
      <c r="E280" s="33">
        <f>4428154.93+1320628.34</f>
        <v>5748783.2699999996</v>
      </c>
    </row>
    <row r="281" spans="1:5" ht="102.75" customHeight="1" x14ac:dyDescent="0.3">
      <c r="A281" s="11" t="s">
        <v>471</v>
      </c>
      <c r="B281" s="12" t="s">
        <v>470</v>
      </c>
      <c r="C281" s="12">
        <v>200</v>
      </c>
      <c r="D281" s="33">
        <v>500000</v>
      </c>
      <c r="E281" s="33">
        <v>500000</v>
      </c>
    </row>
    <row r="282" spans="1:5" ht="82.5" customHeight="1" x14ac:dyDescent="0.3">
      <c r="A282" s="16" t="s">
        <v>117</v>
      </c>
      <c r="B282" s="17" t="s">
        <v>116</v>
      </c>
      <c r="C282" s="17"/>
      <c r="D282" s="13">
        <f t="shared" ref="D282:E282" si="52">D283+D288+D292</f>
        <v>119400</v>
      </c>
      <c r="E282" s="13">
        <f t="shared" si="52"/>
        <v>119400</v>
      </c>
    </row>
    <row r="283" spans="1:5" ht="67.5" customHeight="1" x14ac:dyDescent="0.3">
      <c r="A283" s="16" t="s">
        <v>119</v>
      </c>
      <c r="B283" s="17" t="s">
        <v>118</v>
      </c>
      <c r="C283" s="17"/>
      <c r="D283" s="13">
        <f t="shared" ref="D283:E283" si="53">D284</f>
        <v>89400</v>
      </c>
      <c r="E283" s="13">
        <f t="shared" si="53"/>
        <v>89400</v>
      </c>
    </row>
    <row r="284" spans="1:5" ht="44.25" customHeight="1" x14ac:dyDescent="0.3">
      <c r="A284" s="18" t="s">
        <v>121</v>
      </c>
      <c r="B284" s="19" t="s">
        <v>120</v>
      </c>
      <c r="C284" s="19"/>
      <c r="D284" s="14">
        <f t="shared" ref="D284:E284" si="54">SUM(D285:D287)</f>
        <v>89400</v>
      </c>
      <c r="E284" s="14">
        <f t="shared" si="54"/>
        <v>89400</v>
      </c>
    </row>
    <row r="285" spans="1:5" s="3" customFormat="1" ht="75" x14ac:dyDescent="0.3">
      <c r="A285" s="20" t="s">
        <v>402</v>
      </c>
      <c r="B285" s="12" t="s">
        <v>403</v>
      </c>
      <c r="C285" s="12">
        <v>200</v>
      </c>
      <c r="D285" s="33">
        <v>64400</v>
      </c>
      <c r="E285" s="33">
        <v>64400</v>
      </c>
    </row>
    <row r="286" spans="1:5" ht="93.75" x14ac:dyDescent="0.3">
      <c r="A286" s="20" t="s">
        <v>404</v>
      </c>
      <c r="B286" s="12" t="s">
        <v>403</v>
      </c>
      <c r="C286" s="12">
        <v>600</v>
      </c>
      <c r="D286" s="33">
        <v>10000</v>
      </c>
      <c r="E286" s="33">
        <v>10000</v>
      </c>
    </row>
    <row r="287" spans="1:5" ht="93.75" x14ac:dyDescent="0.3">
      <c r="A287" s="20" t="s">
        <v>473</v>
      </c>
      <c r="B287" s="12" t="s">
        <v>474</v>
      </c>
      <c r="C287" s="12">
        <v>200</v>
      </c>
      <c r="D287" s="33">
        <v>15000</v>
      </c>
      <c r="E287" s="33">
        <v>15000</v>
      </c>
    </row>
    <row r="288" spans="1:5" s="4" customFormat="1" ht="37.5" x14ac:dyDescent="0.3">
      <c r="A288" s="16" t="s">
        <v>123</v>
      </c>
      <c r="B288" s="17" t="s">
        <v>122</v>
      </c>
      <c r="C288" s="17"/>
      <c r="D288" s="13">
        <f t="shared" ref="D288:E288" si="55">D289</f>
        <v>20000</v>
      </c>
      <c r="E288" s="13">
        <f t="shared" si="55"/>
        <v>20000</v>
      </c>
    </row>
    <row r="289" spans="1:5" s="4" customFormat="1" ht="47.25" customHeight="1" x14ac:dyDescent="0.3">
      <c r="A289" s="18" t="s">
        <v>421</v>
      </c>
      <c r="B289" s="19" t="s">
        <v>124</v>
      </c>
      <c r="C289" s="19"/>
      <c r="D289" s="14">
        <f t="shared" ref="D289:E289" si="56">SUM(D290:D291)</f>
        <v>20000</v>
      </c>
      <c r="E289" s="14">
        <f t="shared" si="56"/>
        <v>20000</v>
      </c>
    </row>
    <row r="290" spans="1:5" s="3" customFormat="1" ht="103.5" customHeight="1" x14ac:dyDescent="0.3">
      <c r="A290" s="20" t="s">
        <v>162</v>
      </c>
      <c r="B290" s="12" t="s">
        <v>125</v>
      </c>
      <c r="C290" s="12">
        <v>200</v>
      </c>
      <c r="D290" s="33">
        <v>10000</v>
      </c>
      <c r="E290" s="33">
        <v>10000</v>
      </c>
    </row>
    <row r="291" spans="1:5" ht="100.5" customHeight="1" x14ac:dyDescent="0.3">
      <c r="A291" s="20" t="s">
        <v>405</v>
      </c>
      <c r="B291" s="12" t="s">
        <v>406</v>
      </c>
      <c r="C291" s="12">
        <v>200</v>
      </c>
      <c r="D291" s="33">
        <v>10000</v>
      </c>
      <c r="E291" s="33">
        <v>10000</v>
      </c>
    </row>
    <row r="292" spans="1:5" ht="46.5" customHeight="1" x14ac:dyDescent="0.3">
      <c r="A292" s="16" t="s">
        <v>407</v>
      </c>
      <c r="B292" s="17" t="s">
        <v>408</v>
      </c>
      <c r="C292" s="17"/>
      <c r="D292" s="13">
        <f t="shared" ref="D292:E293" si="57">D293</f>
        <v>10000</v>
      </c>
      <c r="E292" s="13">
        <f t="shared" si="57"/>
        <v>10000</v>
      </c>
    </row>
    <row r="293" spans="1:5" ht="48.75" customHeight="1" x14ac:dyDescent="0.3">
      <c r="A293" s="18" t="s">
        <v>409</v>
      </c>
      <c r="B293" s="19" t="s">
        <v>410</v>
      </c>
      <c r="C293" s="19"/>
      <c r="D293" s="14">
        <f t="shared" si="57"/>
        <v>10000</v>
      </c>
      <c r="E293" s="14">
        <f t="shared" si="57"/>
        <v>10000</v>
      </c>
    </row>
    <row r="294" spans="1:5" ht="100.5" customHeight="1" x14ac:dyDescent="0.3">
      <c r="A294" s="20" t="s">
        <v>411</v>
      </c>
      <c r="B294" s="12" t="s">
        <v>412</v>
      </c>
      <c r="C294" s="12">
        <v>200</v>
      </c>
      <c r="D294" s="33">
        <v>10000</v>
      </c>
      <c r="E294" s="33">
        <v>10000</v>
      </c>
    </row>
    <row r="295" spans="1:5" s="3" customFormat="1" ht="112.5" x14ac:dyDescent="0.3">
      <c r="A295" s="23" t="s">
        <v>330</v>
      </c>
      <c r="B295" s="17" t="s">
        <v>312</v>
      </c>
      <c r="C295" s="12"/>
      <c r="D295" s="13">
        <f t="shared" ref="D295:E295" si="58">D296</f>
        <v>13500</v>
      </c>
      <c r="E295" s="13">
        <f t="shared" si="58"/>
        <v>13500</v>
      </c>
    </row>
    <row r="296" spans="1:5" ht="47.25" customHeight="1" x14ac:dyDescent="0.3">
      <c r="A296" s="16" t="s">
        <v>327</v>
      </c>
      <c r="B296" s="17" t="s">
        <v>313</v>
      </c>
      <c r="C296" s="17"/>
      <c r="D296" s="13">
        <f t="shared" ref="D296:E296" si="59">D297+D299</f>
        <v>13500</v>
      </c>
      <c r="E296" s="13">
        <f t="shared" si="59"/>
        <v>13500</v>
      </c>
    </row>
    <row r="297" spans="1:5" ht="63" customHeight="1" x14ac:dyDescent="0.3">
      <c r="A297" s="21" t="s">
        <v>329</v>
      </c>
      <c r="B297" s="19" t="s">
        <v>314</v>
      </c>
      <c r="C297" s="12"/>
      <c r="D297" s="14">
        <f t="shared" ref="D297:E297" si="60">SUM(D298)</f>
        <v>12000</v>
      </c>
      <c r="E297" s="14">
        <f t="shared" si="60"/>
        <v>12000</v>
      </c>
    </row>
    <row r="298" spans="1:5" ht="104.25" customHeight="1" x14ac:dyDescent="0.3">
      <c r="A298" s="11" t="s">
        <v>315</v>
      </c>
      <c r="B298" s="12" t="s">
        <v>316</v>
      </c>
      <c r="C298" s="12">
        <v>200</v>
      </c>
      <c r="D298" s="33">
        <v>12000</v>
      </c>
      <c r="E298" s="33">
        <v>12000</v>
      </c>
    </row>
    <row r="299" spans="1:5" ht="168.75" x14ac:dyDescent="0.3">
      <c r="A299" s="21" t="s">
        <v>317</v>
      </c>
      <c r="B299" s="19" t="s">
        <v>318</v>
      </c>
      <c r="C299" s="12"/>
      <c r="D299" s="14">
        <f t="shared" ref="D299:E299" si="61">D300</f>
        <v>1500</v>
      </c>
      <c r="E299" s="14">
        <f t="shared" si="61"/>
        <v>1500</v>
      </c>
    </row>
    <row r="300" spans="1:5" s="4" customFormat="1" ht="120" customHeight="1" x14ac:dyDescent="0.3">
      <c r="A300" s="11" t="s">
        <v>328</v>
      </c>
      <c r="B300" s="12" t="s">
        <v>319</v>
      </c>
      <c r="C300" s="12">
        <v>200</v>
      </c>
      <c r="D300" s="33">
        <v>1500</v>
      </c>
      <c r="E300" s="33">
        <v>1500</v>
      </c>
    </row>
    <row r="301" spans="1:5" ht="81" customHeight="1" x14ac:dyDescent="0.3">
      <c r="A301" s="23" t="s">
        <v>342</v>
      </c>
      <c r="B301" s="17" t="s">
        <v>320</v>
      </c>
      <c r="C301" s="12"/>
      <c r="D301" s="13">
        <f t="shared" ref="D301:E301" si="62">D302+D305</f>
        <v>177260</v>
      </c>
      <c r="E301" s="13">
        <f t="shared" si="62"/>
        <v>177260</v>
      </c>
    </row>
    <row r="302" spans="1:5" ht="46.5" customHeight="1" x14ac:dyDescent="0.3">
      <c r="A302" s="16" t="s">
        <v>197</v>
      </c>
      <c r="B302" s="17" t="s">
        <v>321</v>
      </c>
      <c r="C302" s="12"/>
      <c r="D302" s="13">
        <f t="shared" ref="D302:E302" si="63">D303</f>
        <v>140000</v>
      </c>
      <c r="E302" s="13">
        <f t="shared" si="63"/>
        <v>140000</v>
      </c>
    </row>
    <row r="303" spans="1:5" ht="45" customHeight="1" x14ac:dyDescent="0.3">
      <c r="A303" s="18" t="s">
        <v>198</v>
      </c>
      <c r="B303" s="19" t="s">
        <v>322</v>
      </c>
      <c r="C303" s="12"/>
      <c r="D303" s="14">
        <f t="shared" ref="D303:E303" si="64">SUM(D304:D304)</f>
        <v>140000</v>
      </c>
      <c r="E303" s="14">
        <f t="shared" si="64"/>
        <v>140000</v>
      </c>
    </row>
    <row r="304" spans="1:5" ht="56.25" x14ac:dyDescent="0.3">
      <c r="A304" s="20" t="s">
        <v>387</v>
      </c>
      <c r="B304" s="12" t="s">
        <v>446</v>
      </c>
      <c r="C304" s="12">
        <v>300</v>
      </c>
      <c r="D304" s="33">
        <v>140000</v>
      </c>
      <c r="E304" s="33">
        <v>140000</v>
      </c>
    </row>
    <row r="305" spans="1:5" ht="64.5" customHeight="1" x14ac:dyDescent="0.3">
      <c r="A305" s="16" t="s">
        <v>199</v>
      </c>
      <c r="B305" s="17" t="s">
        <v>323</v>
      </c>
      <c r="C305" s="12"/>
      <c r="D305" s="13">
        <f t="shared" ref="D305:E305" si="65">D306</f>
        <v>37260</v>
      </c>
      <c r="E305" s="13">
        <f t="shared" si="65"/>
        <v>37260</v>
      </c>
    </row>
    <row r="306" spans="1:5" ht="63.75" customHeight="1" x14ac:dyDescent="0.3">
      <c r="A306" s="18" t="s">
        <v>200</v>
      </c>
      <c r="B306" s="19" t="s">
        <v>324</v>
      </c>
      <c r="C306" s="12"/>
      <c r="D306" s="14">
        <f t="shared" ref="D306:E306" si="66">SUM(D307:D307)</f>
        <v>37260</v>
      </c>
      <c r="E306" s="14">
        <f t="shared" si="66"/>
        <v>37260</v>
      </c>
    </row>
    <row r="307" spans="1:5" ht="141" customHeight="1" x14ac:dyDescent="0.3">
      <c r="A307" s="11" t="s">
        <v>422</v>
      </c>
      <c r="B307" s="12" t="s">
        <v>447</v>
      </c>
      <c r="C307" s="12">
        <v>300</v>
      </c>
      <c r="D307" s="33">
        <v>37260</v>
      </c>
      <c r="E307" s="33">
        <v>37260</v>
      </c>
    </row>
    <row r="308" spans="1:5" ht="84" customHeight="1" x14ac:dyDescent="0.3">
      <c r="A308" s="23" t="s">
        <v>355</v>
      </c>
      <c r="B308" s="17" t="s">
        <v>358</v>
      </c>
      <c r="C308" s="17"/>
      <c r="D308" s="13">
        <f t="shared" ref="D308:E309" si="67">D309</f>
        <v>216300</v>
      </c>
      <c r="E308" s="13">
        <f t="shared" si="67"/>
        <v>216300</v>
      </c>
    </row>
    <row r="309" spans="1:5" ht="75.75" customHeight="1" x14ac:dyDescent="0.3">
      <c r="A309" s="23" t="s">
        <v>356</v>
      </c>
      <c r="B309" s="17" t="s">
        <v>359</v>
      </c>
      <c r="C309" s="17"/>
      <c r="D309" s="13">
        <f t="shared" si="67"/>
        <v>216300</v>
      </c>
      <c r="E309" s="13">
        <f t="shared" si="67"/>
        <v>216300</v>
      </c>
    </row>
    <row r="310" spans="1:5" ht="52.5" customHeight="1" x14ac:dyDescent="0.3">
      <c r="A310" s="21" t="s">
        <v>357</v>
      </c>
      <c r="B310" s="19" t="s">
        <v>360</v>
      </c>
      <c r="C310" s="19"/>
      <c r="D310" s="14">
        <f t="shared" ref="D310:E310" si="68">SUM(D311:D313)</f>
        <v>216300</v>
      </c>
      <c r="E310" s="14">
        <f t="shared" si="68"/>
        <v>216300</v>
      </c>
    </row>
    <row r="311" spans="1:5" ht="85.5" customHeight="1" x14ac:dyDescent="0.3">
      <c r="A311" s="11" t="s">
        <v>363</v>
      </c>
      <c r="B311" s="12" t="s">
        <v>361</v>
      </c>
      <c r="C311" s="12">
        <v>200</v>
      </c>
      <c r="D311" s="33">
        <v>1000</v>
      </c>
      <c r="E311" s="33">
        <v>1000</v>
      </c>
    </row>
    <row r="312" spans="1:5" ht="90" customHeight="1" x14ac:dyDescent="0.3">
      <c r="A312" s="11" t="s">
        <v>364</v>
      </c>
      <c r="B312" s="12" t="s">
        <v>362</v>
      </c>
      <c r="C312" s="12">
        <v>200</v>
      </c>
      <c r="D312" s="33">
        <f>162300-11000</f>
        <v>151300</v>
      </c>
      <c r="E312" s="33">
        <f>162300-11000</f>
        <v>151300</v>
      </c>
    </row>
    <row r="313" spans="1:5" ht="84" customHeight="1" x14ac:dyDescent="0.3">
      <c r="A313" s="11" t="s">
        <v>365</v>
      </c>
      <c r="B313" s="12" t="s">
        <v>362</v>
      </c>
      <c r="C313" s="12">
        <v>600</v>
      </c>
      <c r="D313" s="33">
        <f>53000+11000</f>
        <v>64000</v>
      </c>
      <c r="E313" s="33">
        <f>53000+11000</f>
        <v>64000</v>
      </c>
    </row>
    <row r="314" spans="1:5" ht="49.5" customHeight="1" x14ac:dyDescent="0.3">
      <c r="A314" s="23" t="s">
        <v>398</v>
      </c>
      <c r="B314" s="17" t="s">
        <v>399</v>
      </c>
      <c r="C314" s="12"/>
      <c r="D314" s="13">
        <f t="shared" ref="D314:E314" si="69">D315</f>
        <v>6408249.2599999998</v>
      </c>
      <c r="E314" s="13">
        <f t="shared" si="69"/>
        <v>6408249.2599999998</v>
      </c>
    </row>
    <row r="315" spans="1:5" s="4" customFormat="1" ht="94.5" customHeight="1" x14ac:dyDescent="0.3">
      <c r="A315" s="16" t="s">
        <v>375</v>
      </c>
      <c r="B315" s="17" t="s">
        <v>126</v>
      </c>
      <c r="C315" s="17"/>
      <c r="D315" s="13">
        <f>SUM(D316:D330)</f>
        <v>6408249.2599999998</v>
      </c>
      <c r="E315" s="13">
        <f t="shared" ref="E315" si="70">SUM(E316:E330)</f>
        <v>6408249.2599999998</v>
      </c>
    </row>
    <row r="316" spans="1:5" s="4" customFormat="1" ht="123" customHeight="1" x14ac:dyDescent="0.3">
      <c r="A316" s="20" t="s">
        <v>225</v>
      </c>
      <c r="B316" s="12" t="s">
        <v>127</v>
      </c>
      <c r="C316" s="12">
        <v>100</v>
      </c>
      <c r="D316" s="33">
        <f>1392518.3+94031.48</f>
        <v>1486549.78</v>
      </c>
      <c r="E316" s="33">
        <f>1392518.3+94031.48</f>
        <v>1486549.78</v>
      </c>
    </row>
    <row r="317" spans="1:5" s="4" customFormat="1" ht="81.75" customHeight="1" x14ac:dyDescent="0.3">
      <c r="A317" s="20" t="s">
        <v>226</v>
      </c>
      <c r="B317" s="12" t="s">
        <v>127</v>
      </c>
      <c r="C317" s="12">
        <v>200</v>
      </c>
      <c r="D317" s="33">
        <v>366446</v>
      </c>
      <c r="E317" s="33">
        <v>366446</v>
      </c>
    </row>
    <row r="318" spans="1:5" ht="63.75" customHeight="1" x14ac:dyDescent="0.3">
      <c r="A318" s="20" t="s">
        <v>227</v>
      </c>
      <c r="B318" s="12" t="s">
        <v>127</v>
      </c>
      <c r="C318" s="12">
        <v>800</v>
      </c>
      <c r="D318" s="33">
        <v>6000</v>
      </c>
      <c r="E318" s="33">
        <v>6000</v>
      </c>
    </row>
    <row r="319" spans="1:5" ht="141.75" customHeight="1" x14ac:dyDescent="0.3">
      <c r="A319" s="20" t="s">
        <v>228</v>
      </c>
      <c r="B319" s="12" t="s">
        <v>128</v>
      </c>
      <c r="C319" s="12">
        <v>100</v>
      </c>
      <c r="D319" s="33">
        <v>72000</v>
      </c>
      <c r="E319" s="33">
        <v>72000</v>
      </c>
    </row>
    <row r="320" spans="1:5" ht="145.5" customHeight="1" x14ac:dyDescent="0.3">
      <c r="A320" s="20" t="s">
        <v>141</v>
      </c>
      <c r="B320" s="12" t="s">
        <v>129</v>
      </c>
      <c r="C320" s="12">
        <v>100</v>
      </c>
      <c r="D320" s="33">
        <f>1235913.34+231369.13</f>
        <v>1467282.4700000002</v>
      </c>
      <c r="E320" s="33">
        <f>1235913.34+231369.13</f>
        <v>1467282.4700000002</v>
      </c>
    </row>
    <row r="321" spans="1:5" ht="83.25" customHeight="1" x14ac:dyDescent="0.3">
      <c r="A321" s="20" t="s">
        <v>229</v>
      </c>
      <c r="B321" s="12" t="s">
        <v>129</v>
      </c>
      <c r="C321" s="12">
        <v>200</v>
      </c>
      <c r="D321" s="33">
        <v>170532.63</v>
      </c>
      <c r="E321" s="33">
        <v>170532.63</v>
      </c>
    </row>
    <row r="322" spans="1:5" ht="131.25" x14ac:dyDescent="0.3">
      <c r="A322" s="20" t="s">
        <v>142</v>
      </c>
      <c r="B322" s="12" t="s">
        <v>130</v>
      </c>
      <c r="C322" s="12">
        <v>100</v>
      </c>
      <c r="D322" s="33">
        <f>710095.8+259892.11</f>
        <v>969987.91</v>
      </c>
      <c r="E322" s="33">
        <f>710095.8+259892.11</f>
        <v>969987.91</v>
      </c>
    </row>
    <row r="323" spans="1:5" ht="168.75" x14ac:dyDescent="0.3">
      <c r="A323" s="20" t="s">
        <v>476</v>
      </c>
      <c r="B323" s="12" t="s">
        <v>477</v>
      </c>
      <c r="C323" s="12">
        <v>100</v>
      </c>
      <c r="D323" s="33">
        <f>237572.4+14137.01+43854.59</f>
        <v>295564</v>
      </c>
      <c r="E323" s="33">
        <f>251709.41+43854.59</f>
        <v>295564</v>
      </c>
    </row>
    <row r="324" spans="1:5" ht="120.75" customHeight="1" x14ac:dyDescent="0.3">
      <c r="A324" s="11" t="s">
        <v>143</v>
      </c>
      <c r="B324" s="12" t="s">
        <v>135</v>
      </c>
      <c r="C324" s="12">
        <v>100</v>
      </c>
      <c r="D324" s="33">
        <f>1036443.5+346210.97</f>
        <v>1382654.47</v>
      </c>
      <c r="E324" s="33">
        <f>1036443.5+346210.97</f>
        <v>1382654.47</v>
      </c>
    </row>
    <row r="325" spans="1:5" ht="1.5" hidden="1" customHeight="1" x14ac:dyDescent="0.3">
      <c r="A325" s="11" t="s">
        <v>478</v>
      </c>
      <c r="B325" s="12" t="s">
        <v>479</v>
      </c>
      <c r="C325" s="12">
        <v>100</v>
      </c>
      <c r="D325" s="33">
        <v>0</v>
      </c>
      <c r="E325" s="33">
        <v>0</v>
      </c>
    </row>
    <row r="326" spans="1:5" ht="130.5" customHeight="1" x14ac:dyDescent="0.3">
      <c r="A326" s="11" t="s">
        <v>570</v>
      </c>
      <c r="B326" s="12" t="s">
        <v>571</v>
      </c>
      <c r="C326" s="12">
        <v>200</v>
      </c>
      <c r="D326" s="33">
        <v>3600</v>
      </c>
      <c r="E326" s="33">
        <v>3600</v>
      </c>
    </row>
    <row r="327" spans="1:5" ht="168" customHeight="1" x14ac:dyDescent="0.3">
      <c r="A327" s="11" t="s">
        <v>478</v>
      </c>
      <c r="B327" s="12" t="s">
        <v>479</v>
      </c>
      <c r="C327" s="12">
        <v>100</v>
      </c>
      <c r="D327" s="33">
        <f>44246.65+2661.35</f>
        <v>46908</v>
      </c>
      <c r="E327" s="33">
        <f>44246.65+2661.35</f>
        <v>46908</v>
      </c>
    </row>
    <row r="328" spans="1:5" ht="162" customHeight="1" x14ac:dyDescent="0.3">
      <c r="A328" s="11" t="s">
        <v>480</v>
      </c>
      <c r="B328" s="12" t="s">
        <v>481</v>
      </c>
      <c r="C328" s="12">
        <v>100</v>
      </c>
      <c r="D328" s="33">
        <f>43087+1159.65+2661.35</f>
        <v>46908</v>
      </c>
      <c r="E328" s="33">
        <f>44246.65+2661.35</f>
        <v>46908</v>
      </c>
    </row>
    <row r="329" spans="1:5" ht="156" customHeight="1" x14ac:dyDescent="0.3">
      <c r="A329" s="11" t="s">
        <v>482</v>
      </c>
      <c r="B329" s="12" t="s">
        <v>483</v>
      </c>
      <c r="C329" s="12">
        <v>100</v>
      </c>
      <c r="D329" s="33">
        <f>43087+1159.65+2661.35</f>
        <v>46908</v>
      </c>
      <c r="E329" s="33">
        <f>44246.65+2661.35</f>
        <v>46908</v>
      </c>
    </row>
    <row r="330" spans="1:5" ht="158.25" customHeight="1" x14ac:dyDescent="0.3">
      <c r="A330" s="11" t="s">
        <v>484</v>
      </c>
      <c r="B330" s="12" t="s">
        <v>485</v>
      </c>
      <c r="C330" s="12">
        <v>100</v>
      </c>
      <c r="D330" s="33">
        <f>43087+1159.65+2661.35</f>
        <v>46908</v>
      </c>
      <c r="E330" s="33">
        <f>44246.65+2661.35</f>
        <v>46908</v>
      </c>
    </row>
    <row r="331" spans="1:5" ht="70.5" customHeight="1" x14ac:dyDescent="0.3">
      <c r="A331" s="23" t="s">
        <v>400</v>
      </c>
      <c r="B331" s="17" t="s">
        <v>401</v>
      </c>
      <c r="C331" s="12"/>
      <c r="D331" s="13">
        <f t="shared" ref="D331:E331" si="71">D332</f>
        <v>1423244.7600000002</v>
      </c>
      <c r="E331" s="13">
        <f t="shared" si="71"/>
        <v>938294.19000000006</v>
      </c>
    </row>
    <row r="332" spans="1:5" ht="77.25" customHeight="1" x14ac:dyDescent="0.3">
      <c r="A332" s="16" t="s">
        <v>332</v>
      </c>
      <c r="B332" s="17" t="s">
        <v>333</v>
      </c>
      <c r="C332" s="17"/>
      <c r="D332" s="13">
        <f>SUM(D333:D337)</f>
        <v>1423244.7600000002</v>
      </c>
      <c r="E332" s="13">
        <f>SUM(E333:E337)</f>
        <v>938294.19000000006</v>
      </c>
    </row>
    <row r="333" spans="1:5" ht="69.75" customHeight="1" x14ac:dyDescent="0.3">
      <c r="A333" s="20" t="s">
        <v>544</v>
      </c>
      <c r="B333" s="12" t="s">
        <v>543</v>
      </c>
      <c r="C333" s="12">
        <v>200</v>
      </c>
      <c r="D333" s="5">
        <v>771748.52</v>
      </c>
      <c r="E333" s="5">
        <v>771748.52</v>
      </c>
    </row>
    <row r="334" spans="1:5" ht="105" customHeight="1" x14ac:dyDescent="0.3">
      <c r="A334" s="20" t="s">
        <v>423</v>
      </c>
      <c r="B334" s="12" t="s">
        <v>366</v>
      </c>
      <c r="C334" s="12">
        <v>500</v>
      </c>
      <c r="D334" s="33">
        <v>140880.10999999999</v>
      </c>
      <c r="E334" s="33">
        <v>140880.10999999999</v>
      </c>
    </row>
    <row r="335" spans="1:5" ht="105" customHeight="1" x14ac:dyDescent="0.3">
      <c r="A335" s="20" t="s">
        <v>487</v>
      </c>
      <c r="B335" s="12" t="s">
        <v>369</v>
      </c>
      <c r="C335" s="12">
        <v>200</v>
      </c>
      <c r="D335" s="33">
        <f>5079.62-3497.91</f>
        <v>1581.71</v>
      </c>
      <c r="E335" s="33">
        <v>1420.31</v>
      </c>
    </row>
    <row r="336" spans="1:5" ht="65.25" customHeight="1" x14ac:dyDescent="0.3">
      <c r="A336" s="20" t="s">
        <v>368</v>
      </c>
      <c r="B336" s="12" t="s">
        <v>367</v>
      </c>
      <c r="C336" s="12">
        <v>300</v>
      </c>
      <c r="D336" s="33">
        <f>1562099.33-1077310.16</f>
        <v>484789.17000000016</v>
      </c>
      <c r="E336" s="33">
        <f>1562099.33-1562099.33</f>
        <v>0</v>
      </c>
    </row>
    <row r="337" spans="1:5" ht="123.75" customHeight="1" x14ac:dyDescent="0.3">
      <c r="A337" s="20" t="s">
        <v>458</v>
      </c>
      <c r="B337" s="12" t="s">
        <v>331</v>
      </c>
      <c r="C337" s="12">
        <v>200</v>
      </c>
      <c r="D337" s="33">
        <v>24245.25</v>
      </c>
      <c r="E337" s="33">
        <v>24245.25</v>
      </c>
    </row>
    <row r="338" spans="1:5" ht="38.25" customHeight="1" x14ac:dyDescent="0.3">
      <c r="A338" s="27" t="s">
        <v>388</v>
      </c>
      <c r="B338" s="28"/>
      <c r="C338" s="29"/>
      <c r="D338" s="13">
        <f>D27+D102+D159+D191+D213+D233+D237+D252+D282+D295+D301+D308+D315+D332</f>
        <v>322065578.57999992</v>
      </c>
      <c r="E338" s="13">
        <f>E27+E102+E159+E191+E213+E233+E237+E252+E282+E295+E301+E308+E315+E332</f>
        <v>310793141.94999999</v>
      </c>
    </row>
    <row r="339" spans="1:5" x14ac:dyDescent="0.3">
      <c r="A339" s="8"/>
      <c r="B339" s="9"/>
      <c r="C339" s="10"/>
      <c r="E339" s="35" t="s">
        <v>572</v>
      </c>
    </row>
    <row r="340" spans="1:5" x14ac:dyDescent="0.3">
      <c r="A340" s="6"/>
      <c r="B340" s="6"/>
      <c r="C340" s="7"/>
    </row>
    <row r="341" spans="1:5" s="4" customFormat="1" x14ac:dyDescent="0.3">
      <c r="A341" s="6"/>
      <c r="B341" s="6"/>
      <c r="C341" s="7"/>
    </row>
    <row r="342" spans="1:5" x14ac:dyDescent="0.3">
      <c r="A342" s="6"/>
      <c r="B342" s="6"/>
      <c r="C342" s="7"/>
    </row>
    <row r="343" spans="1:5" x14ac:dyDescent="0.3">
      <c r="A343" s="6"/>
      <c r="B343" s="6"/>
      <c r="C343" s="7"/>
    </row>
    <row r="344" spans="1:5" x14ac:dyDescent="0.3">
      <c r="A344" s="6"/>
      <c r="B344" s="6"/>
      <c r="C344" s="7"/>
    </row>
    <row r="345" spans="1:5" x14ac:dyDescent="0.3">
      <c r="A345" s="6"/>
      <c r="B345" s="6"/>
      <c r="C345" s="7"/>
    </row>
    <row r="346" spans="1:5" x14ac:dyDescent="0.3">
      <c r="A346" s="6"/>
      <c r="B346" s="6"/>
      <c r="C346" s="7"/>
    </row>
    <row r="347" spans="1:5" x14ac:dyDescent="0.3">
      <c r="A347" s="6"/>
      <c r="B347" s="6"/>
      <c r="C347" s="7"/>
    </row>
    <row r="348" spans="1:5" x14ac:dyDescent="0.3">
      <c r="A348" s="6"/>
      <c r="B348" s="6"/>
      <c r="C348" s="7"/>
    </row>
    <row r="349" spans="1:5" x14ac:dyDescent="0.3">
      <c r="A349" s="6"/>
      <c r="B349" s="6"/>
      <c r="C349" s="7"/>
    </row>
    <row r="350" spans="1:5" x14ac:dyDescent="0.3">
      <c r="A350" s="6"/>
      <c r="B350" s="6"/>
      <c r="C350" s="7"/>
    </row>
    <row r="351" spans="1:5" x14ac:dyDescent="0.3">
      <c r="A351" s="6"/>
      <c r="B351" s="6"/>
      <c r="C351" s="7"/>
    </row>
    <row r="352" spans="1:5" x14ac:dyDescent="0.3">
      <c r="A352" s="6"/>
      <c r="B352" s="6"/>
      <c r="C352" s="7"/>
    </row>
    <row r="353" spans="1:3" x14ac:dyDescent="0.3">
      <c r="A353" s="6"/>
      <c r="B353" s="6"/>
      <c r="C353" s="7"/>
    </row>
    <row r="354" spans="1:3" x14ac:dyDescent="0.3">
      <c r="A354" s="6"/>
      <c r="B354" s="6"/>
      <c r="C354" s="7"/>
    </row>
    <row r="355" spans="1:3" x14ac:dyDescent="0.3">
      <c r="A355" s="6"/>
      <c r="B355" s="6"/>
      <c r="C355" s="7"/>
    </row>
    <row r="356" spans="1:3" x14ac:dyDescent="0.3">
      <c r="A356" s="6"/>
      <c r="B356" s="6"/>
      <c r="C356" s="7"/>
    </row>
    <row r="357" spans="1:3" x14ac:dyDescent="0.3">
      <c r="A357" s="6"/>
      <c r="B357" s="6"/>
      <c r="C357" s="7"/>
    </row>
    <row r="358" spans="1:3" x14ac:dyDescent="0.3">
      <c r="A358" s="6"/>
      <c r="B358" s="6"/>
      <c r="C358" s="7"/>
    </row>
    <row r="359" spans="1:3" x14ac:dyDescent="0.3">
      <c r="A359" s="6"/>
      <c r="B359" s="6"/>
      <c r="C359" s="7"/>
    </row>
    <row r="360" spans="1:3" x14ac:dyDescent="0.3">
      <c r="A360" s="6"/>
      <c r="B360" s="6"/>
      <c r="C360" s="7"/>
    </row>
    <row r="361" spans="1:3" x14ac:dyDescent="0.3">
      <c r="A361" s="6"/>
      <c r="B361" s="6"/>
      <c r="C361" s="7"/>
    </row>
    <row r="362" spans="1:3" x14ac:dyDescent="0.3">
      <c r="A362" s="6"/>
      <c r="B362" s="6"/>
      <c r="C362" s="7"/>
    </row>
    <row r="363" spans="1:3" x14ac:dyDescent="0.3">
      <c r="A363" s="6"/>
      <c r="B363" s="6"/>
      <c r="C363" s="7"/>
    </row>
    <row r="364" spans="1:3" x14ac:dyDescent="0.3">
      <c r="A364" s="6"/>
      <c r="B364" s="6"/>
      <c r="C364" s="7"/>
    </row>
    <row r="365" spans="1:3" x14ac:dyDescent="0.3">
      <c r="A365" s="6"/>
      <c r="B365" s="6"/>
      <c r="C365" s="7"/>
    </row>
    <row r="366" spans="1:3" x14ac:dyDescent="0.3">
      <c r="A366" s="6"/>
      <c r="B366" s="6"/>
      <c r="C366" s="7"/>
    </row>
    <row r="367" spans="1:3" x14ac:dyDescent="0.3">
      <c r="A367" s="6"/>
      <c r="B367" s="6"/>
      <c r="C367" s="7"/>
    </row>
    <row r="368" spans="1:3" x14ac:dyDescent="0.3">
      <c r="A368" s="6"/>
      <c r="B368" s="6"/>
      <c r="C368" s="7"/>
    </row>
    <row r="369" spans="1:3" x14ac:dyDescent="0.3">
      <c r="A369" s="6"/>
      <c r="B369" s="6"/>
      <c r="C369" s="7"/>
    </row>
    <row r="370" spans="1:3" x14ac:dyDescent="0.3">
      <c r="A370" s="6"/>
      <c r="B370" s="6"/>
      <c r="C370" s="7"/>
    </row>
    <row r="371" spans="1:3" x14ac:dyDescent="0.3">
      <c r="A371" s="6"/>
      <c r="B371" s="6"/>
      <c r="C371" s="7"/>
    </row>
    <row r="372" spans="1:3" x14ac:dyDescent="0.3">
      <c r="A372" s="6"/>
      <c r="B372" s="6"/>
      <c r="C372" s="7"/>
    </row>
    <row r="373" spans="1:3" x14ac:dyDescent="0.3">
      <c r="A373" s="6"/>
      <c r="B373" s="6"/>
      <c r="C373" s="7"/>
    </row>
    <row r="374" spans="1:3" x14ac:dyDescent="0.3">
      <c r="A374" s="6"/>
      <c r="B374" s="6"/>
      <c r="C374" s="7"/>
    </row>
    <row r="375" spans="1:3" x14ac:dyDescent="0.3">
      <c r="A375" s="6"/>
      <c r="B375" s="6"/>
      <c r="C375" s="7"/>
    </row>
    <row r="376" spans="1:3" x14ac:dyDescent="0.3">
      <c r="A376" s="6"/>
      <c r="B376" s="6"/>
      <c r="C376" s="7"/>
    </row>
    <row r="377" spans="1:3" x14ac:dyDescent="0.3">
      <c r="A377" s="6"/>
      <c r="B377" s="6"/>
      <c r="C377" s="7"/>
    </row>
    <row r="378" spans="1:3" x14ac:dyDescent="0.3">
      <c r="A378" s="6"/>
      <c r="B378" s="6"/>
      <c r="C378" s="7"/>
    </row>
    <row r="379" spans="1:3" x14ac:dyDescent="0.3">
      <c r="A379" s="6"/>
      <c r="B379" s="6"/>
      <c r="C379" s="7"/>
    </row>
    <row r="380" spans="1:3" x14ac:dyDescent="0.3">
      <c r="A380" s="6"/>
      <c r="B380" s="6"/>
      <c r="C380" s="7"/>
    </row>
    <row r="381" spans="1:3" x14ac:dyDescent="0.3">
      <c r="A381" s="6"/>
      <c r="B381" s="6"/>
      <c r="C381" s="7"/>
    </row>
    <row r="382" spans="1:3" x14ac:dyDescent="0.3">
      <c r="A382" s="6"/>
      <c r="B382" s="6"/>
      <c r="C382" s="7"/>
    </row>
    <row r="383" spans="1:3" x14ac:dyDescent="0.3">
      <c r="A383" s="6"/>
      <c r="B383" s="6"/>
      <c r="C383" s="7"/>
    </row>
    <row r="384" spans="1:3" x14ac:dyDescent="0.3">
      <c r="A384" s="6"/>
      <c r="B384" s="6"/>
      <c r="C384" s="7"/>
    </row>
    <row r="385" spans="1:3" x14ac:dyDescent="0.3">
      <c r="A385" s="6"/>
      <c r="B385" s="6"/>
      <c r="C385" s="7"/>
    </row>
    <row r="386" spans="1:3" x14ac:dyDescent="0.3">
      <c r="A386" s="6"/>
      <c r="B386" s="6"/>
      <c r="C386" s="7"/>
    </row>
    <row r="387" spans="1:3" x14ac:dyDescent="0.3">
      <c r="A387" s="6"/>
      <c r="B387" s="6"/>
      <c r="C387" s="7"/>
    </row>
    <row r="388" spans="1:3" x14ac:dyDescent="0.3">
      <c r="A388" s="6"/>
      <c r="B388" s="6"/>
      <c r="C388" s="7"/>
    </row>
    <row r="389" spans="1:3" x14ac:dyDescent="0.3">
      <c r="A389" s="6"/>
      <c r="B389" s="6"/>
      <c r="C389" s="7"/>
    </row>
    <row r="390" spans="1:3" x14ac:dyDescent="0.3">
      <c r="A390" s="6"/>
      <c r="B390" s="6"/>
      <c r="C390" s="7"/>
    </row>
    <row r="391" spans="1:3" x14ac:dyDescent="0.3">
      <c r="A391" s="6"/>
      <c r="B391" s="6"/>
      <c r="C391" s="7"/>
    </row>
    <row r="392" spans="1:3" x14ac:dyDescent="0.3">
      <c r="A392" s="6"/>
      <c r="B392" s="6"/>
      <c r="C392" s="7"/>
    </row>
    <row r="393" spans="1:3" x14ac:dyDescent="0.3">
      <c r="A393" s="6"/>
      <c r="B393" s="6"/>
      <c r="C393" s="7"/>
    </row>
    <row r="394" spans="1:3" x14ac:dyDescent="0.3">
      <c r="A394" s="6"/>
      <c r="B394" s="6"/>
      <c r="C394" s="7"/>
    </row>
    <row r="395" spans="1:3" x14ac:dyDescent="0.3">
      <c r="A395" s="6"/>
      <c r="B395" s="6"/>
      <c r="C395" s="7"/>
    </row>
    <row r="396" spans="1:3" x14ac:dyDescent="0.3">
      <c r="A396" s="6"/>
      <c r="B396" s="6"/>
      <c r="C396" s="7"/>
    </row>
    <row r="397" spans="1:3" x14ac:dyDescent="0.3">
      <c r="A397" s="6"/>
      <c r="B397" s="6"/>
      <c r="C397" s="7"/>
    </row>
    <row r="398" spans="1:3" x14ac:dyDescent="0.3">
      <c r="A398" s="6"/>
      <c r="B398" s="6"/>
      <c r="C398" s="7"/>
    </row>
    <row r="399" spans="1:3" x14ac:dyDescent="0.3">
      <c r="A399" s="6"/>
      <c r="B399" s="6"/>
      <c r="C399" s="7"/>
    </row>
    <row r="400" spans="1:3" x14ac:dyDescent="0.3">
      <c r="A400" s="6"/>
      <c r="B400" s="6"/>
      <c r="C400" s="7"/>
    </row>
    <row r="401" spans="1:3" x14ac:dyDescent="0.3">
      <c r="A401" s="6"/>
      <c r="B401" s="6"/>
      <c r="C401" s="7"/>
    </row>
    <row r="402" spans="1:3" x14ac:dyDescent="0.3">
      <c r="A402" s="6"/>
      <c r="B402" s="6"/>
      <c r="C402" s="7"/>
    </row>
    <row r="403" spans="1:3" x14ac:dyDescent="0.3">
      <c r="A403" s="6"/>
      <c r="B403" s="6"/>
      <c r="C403" s="7"/>
    </row>
    <row r="404" spans="1:3" x14ac:dyDescent="0.3">
      <c r="A404" s="6"/>
      <c r="B404" s="6"/>
      <c r="C404" s="7"/>
    </row>
    <row r="405" spans="1:3" x14ac:dyDescent="0.3">
      <c r="A405" s="6"/>
      <c r="B405" s="6"/>
      <c r="C405" s="7"/>
    </row>
    <row r="406" spans="1:3" x14ac:dyDescent="0.3">
      <c r="A406" s="6"/>
      <c r="B406" s="6"/>
      <c r="C406" s="7"/>
    </row>
    <row r="407" spans="1:3" x14ac:dyDescent="0.3">
      <c r="A407" s="6"/>
      <c r="B407" s="6"/>
      <c r="C407" s="7"/>
    </row>
    <row r="408" spans="1:3" x14ac:dyDescent="0.3">
      <c r="A408" s="6"/>
      <c r="B408" s="6"/>
      <c r="C408" s="7"/>
    </row>
    <row r="409" spans="1:3" x14ac:dyDescent="0.3">
      <c r="A409" s="6"/>
      <c r="B409" s="6"/>
      <c r="C409" s="7"/>
    </row>
    <row r="410" spans="1:3" x14ac:dyDescent="0.3">
      <c r="A410" s="6"/>
      <c r="B410" s="6"/>
      <c r="C410" s="7"/>
    </row>
    <row r="411" spans="1:3" x14ac:dyDescent="0.3">
      <c r="A411" s="6"/>
      <c r="B411" s="6"/>
      <c r="C411" s="7"/>
    </row>
    <row r="412" spans="1:3" x14ac:dyDescent="0.3">
      <c r="A412" s="6"/>
      <c r="B412" s="6"/>
      <c r="C412" s="7"/>
    </row>
    <row r="413" spans="1:3" x14ac:dyDescent="0.3">
      <c r="A413" s="6"/>
      <c r="B413" s="6"/>
      <c r="C413" s="7"/>
    </row>
    <row r="414" spans="1:3" x14ac:dyDescent="0.3">
      <c r="A414" s="6"/>
      <c r="B414" s="6"/>
      <c r="C414" s="7"/>
    </row>
    <row r="415" spans="1:3" x14ac:dyDescent="0.3">
      <c r="A415" s="6"/>
      <c r="B415" s="6"/>
      <c r="C415" s="7"/>
    </row>
    <row r="416" spans="1:3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</sheetData>
  <mergeCells count="26">
    <mergeCell ref="D24:D25"/>
    <mergeCell ref="E24:E25"/>
    <mergeCell ref="A22:E22"/>
    <mergeCell ref="A23:C23"/>
    <mergeCell ref="A24:A25"/>
    <mergeCell ref="B24:B25"/>
    <mergeCell ref="C24:C25"/>
    <mergeCell ref="C18:E18"/>
    <mergeCell ref="C19:E19"/>
    <mergeCell ref="C20:E20"/>
    <mergeCell ref="C13:E13"/>
    <mergeCell ref="C14:E14"/>
    <mergeCell ref="C15:E15"/>
    <mergeCell ref="C16:E16"/>
    <mergeCell ref="C17:E17"/>
    <mergeCell ref="C1:E1"/>
    <mergeCell ref="C2:E2"/>
    <mergeCell ref="C3:E3"/>
    <mergeCell ref="C4:E4"/>
    <mergeCell ref="C5:E5"/>
    <mergeCell ref="C11:E11"/>
    <mergeCell ref="C6:E6"/>
    <mergeCell ref="C7:E7"/>
    <mergeCell ref="C8:E8"/>
    <mergeCell ref="C9:E9"/>
    <mergeCell ref="C10:E10"/>
  </mergeCells>
  <pageMargins left="1.0629921259842521" right="0.86614173228346458" top="0.78740157480314965" bottom="0.7874015748031496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2022-10-24T10:35:12Z</dcterms:modified>
</cp:coreProperties>
</file>