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60" i="1"/>
  <c r="D59"/>
  <c r="D58"/>
  <c r="D294" l="1"/>
  <c r="D149"/>
  <c r="D48"/>
  <c r="D47"/>
  <c r="D34"/>
  <c r="D325" l="1"/>
  <c r="D251"/>
  <c r="D215"/>
  <c r="D143" l="1"/>
  <c r="D142"/>
  <c r="D141"/>
  <c r="D286" l="1"/>
  <c r="D280"/>
  <c r="D273"/>
  <c r="D368" l="1"/>
  <c r="D345"/>
  <c r="D276"/>
  <c r="D230"/>
  <c r="D196"/>
  <c r="D118"/>
  <c r="D55"/>
  <c r="D54"/>
  <c r="D50"/>
  <c r="D329" l="1"/>
  <c r="D326"/>
  <c r="D327"/>
  <c r="D303" l="1"/>
  <c r="D302" s="1"/>
  <c r="D56"/>
  <c r="D210" l="1"/>
  <c r="D387" l="1"/>
  <c r="D438"/>
  <c r="D427"/>
  <c r="D395"/>
  <c r="D394"/>
  <c r="D393"/>
  <c r="D392"/>
  <c r="D388"/>
  <c r="D386"/>
  <c r="D376"/>
  <c r="D375"/>
  <c r="D374"/>
  <c r="D349"/>
  <c r="D344"/>
  <c r="D338"/>
  <c r="D297"/>
  <c r="D293"/>
  <c r="D292"/>
  <c r="D277"/>
  <c r="D272"/>
  <c r="D262"/>
  <c r="D233"/>
  <c r="D232"/>
  <c r="D227"/>
  <c r="D226"/>
  <c r="D202"/>
  <c r="D191"/>
  <c r="D189"/>
  <c r="D187"/>
  <c r="D175"/>
  <c r="D174"/>
  <c r="D152"/>
  <c r="D128"/>
  <c r="D127"/>
  <c r="D96"/>
  <c r="D94"/>
  <c r="D93"/>
  <c r="D92"/>
  <c r="D91"/>
  <c r="D75"/>
  <c r="D70"/>
  <c r="D68"/>
  <c r="D67"/>
  <c r="D64"/>
  <c r="D63"/>
  <c r="D36" l="1"/>
  <c r="D32"/>
  <c r="D377" l="1"/>
  <c r="D315"/>
  <c r="D312"/>
  <c r="D218" l="1"/>
  <c r="D180"/>
  <c r="D151"/>
  <c r="D133" l="1"/>
  <c r="D132" s="1"/>
  <c r="D425" l="1"/>
  <c r="D163" l="1"/>
  <c r="D162"/>
  <c r="D147"/>
  <c r="D57"/>
  <c r="D44"/>
  <c r="D161" l="1"/>
  <c r="D350"/>
  <c r="D221"/>
  <c r="D220"/>
  <c r="D219"/>
  <c r="D37" l="1"/>
  <c r="D300" l="1"/>
  <c r="D253"/>
  <c r="D171"/>
  <c r="D98"/>
  <c r="D81"/>
  <c r="D80"/>
  <c r="D412" l="1"/>
  <c r="D198"/>
  <c r="D145" l="1"/>
  <c r="D334" l="1"/>
  <c r="D333"/>
  <c r="D246"/>
  <c r="D159"/>
  <c r="D102"/>
  <c r="D45"/>
  <c r="D249" l="1"/>
  <c r="D242" s="1"/>
  <c r="D170"/>
  <c r="D110"/>
  <c r="D109"/>
  <c r="D414" l="1"/>
  <c r="D378"/>
  <c r="D363"/>
  <c r="D362" s="1"/>
  <c r="D358"/>
  <c r="D355"/>
  <c r="D354"/>
  <c r="D311"/>
  <c r="D204"/>
  <c r="D35" l="1"/>
  <c r="D330"/>
  <c r="D279"/>
  <c r="D254"/>
  <c r="D87"/>
  <c r="D241" l="1"/>
  <c r="D400" l="1"/>
  <c r="D389"/>
  <c r="D385"/>
  <c r="D381"/>
  <c r="D348"/>
  <c r="D341"/>
  <c r="D340" s="1"/>
  <c r="D323"/>
  <c r="D217"/>
  <c r="D216"/>
  <c r="D214"/>
  <c r="D213" s="1"/>
  <c r="D126" l="1"/>
  <c r="D382" l="1"/>
  <c r="D413" l="1"/>
  <c r="D83" l="1"/>
  <c r="D82"/>
  <c r="D66" l="1"/>
  <c r="D53"/>
  <c r="D52" s="1"/>
  <c r="D30"/>
  <c r="D402" l="1"/>
  <c r="D237"/>
  <c r="D181"/>
  <c r="D140"/>
  <c r="D139"/>
  <c r="D112"/>
  <c r="D103"/>
  <c r="D314" l="1"/>
  <c r="D331" l="1"/>
  <c r="D336" l="1"/>
  <c r="D290"/>
  <c r="D259" l="1"/>
  <c r="D257" l="1"/>
  <c r="D256" s="1"/>
  <c r="D261"/>
  <c r="D231"/>
  <c r="D225"/>
  <c r="D138"/>
  <c r="D373" l="1"/>
  <c r="D65" l="1"/>
  <c r="D399"/>
  <c r="D347" l="1"/>
  <c r="D328"/>
  <c r="D265"/>
  <c r="D188"/>
  <c r="D169" l="1"/>
  <c r="D380" l="1"/>
  <c r="D235" l="1"/>
  <c r="D335" l="1"/>
  <c r="D84" l="1"/>
  <c r="D51" l="1"/>
  <c r="D296" l="1"/>
  <c r="D275"/>
  <c r="D269"/>
  <c r="D200"/>
  <c r="D107"/>
  <c r="D90"/>
  <c r="D160" l="1"/>
  <c r="D398" l="1"/>
  <c r="D369"/>
  <c r="D367"/>
  <c r="D353"/>
  <c r="D343"/>
  <c r="D324"/>
  <c r="D322"/>
  <c r="D318"/>
  <c r="D307"/>
  <c r="D295"/>
  <c r="D289"/>
  <c r="D283"/>
  <c r="D274"/>
  <c r="D268"/>
  <c r="D260"/>
  <c r="D239"/>
  <c r="D234"/>
  <c r="D229"/>
  <c r="D199"/>
  <c r="D197"/>
  <c r="D193"/>
  <c r="D192" s="1"/>
  <c r="D186"/>
  <c r="D167" s="1"/>
  <c r="D158"/>
  <c r="D130"/>
  <c r="D125"/>
  <c r="D121"/>
  <c r="D114"/>
  <c r="D111"/>
  <c r="D95"/>
  <c r="D89" s="1"/>
  <c r="D29"/>
  <c r="D113" l="1"/>
  <c r="D238"/>
  <c r="D357"/>
  <c r="D372"/>
  <c r="D212"/>
  <c r="D282"/>
  <c r="D267" s="1"/>
  <c r="D299"/>
  <c r="D288" s="1"/>
  <c r="D317"/>
  <c r="D346"/>
  <c r="D361"/>
  <c r="D379"/>
  <c r="D120"/>
  <c r="D150"/>
  <c r="D228"/>
  <c r="D124"/>
  <c r="D306"/>
  <c r="D352"/>
  <c r="D137"/>
  <c r="D129"/>
  <c r="D157"/>
  <c r="D203"/>
  <c r="D366"/>
  <c r="D339"/>
  <c r="D321"/>
  <c r="D310"/>
  <c r="D106"/>
  <c r="D28"/>
  <c r="D27" l="1"/>
  <c r="D309"/>
  <c r="D211"/>
  <c r="D351"/>
  <c r="D371"/>
  <c r="D365"/>
  <c r="D305"/>
  <c r="D320"/>
  <c r="D136"/>
  <c r="D442" l="1"/>
</calcChain>
</file>

<file path=xl/sharedStrings.xml><?xml version="1.0" encoding="utf-8"?>
<sst xmlns="http://schemas.openxmlformats.org/spreadsheetml/2006/main" count="856" uniqueCount="802">
  <si>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</si>
  <si>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</si>
  <si>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</si>
  <si>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</si>
  <si>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</si>
  <si>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</si>
  <si>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</si>
  <si>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</si>
  <si>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</si>
  <si>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</si>
  <si>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</si>
  <si>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</si>
  <si>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</si>
  <si>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</si>
  <si>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</si>
  <si>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</si>
  <si>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</si>
  <si>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</si>
  <si>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</si>
  <si>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</si>
  <si>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</si>
  <si>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</si>
  <si>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</si>
  <si>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</si>
  <si>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</si>
  <si>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</si>
  <si>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</si>
  <si>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</si>
  <si>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</si>
  <si>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</si>
  <si>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</si>
  <si>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</si>
  <si>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</si>
  <si>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</si>
  <si>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</si>
  <si>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</si>
  <si>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</si>
  <si>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</si>
  <si>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</si>
  <si>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</si>
  <si>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</si>
  <si>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</si>
  <si>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</si>
  <si>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</si>
  <si>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</si>
  <si>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</si>
  <si>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</si>
  <si>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</si>
  <si>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</si>
  <si>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</si>
  <si>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</si>
  <si>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</si>
  <si>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</si>
  <si>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</si>
  <si>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</si>
  <si>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</si>
  <si>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</si>
  <si>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</si>
  <si>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</si>
  <si>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</si>
  <si>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</si>
  <si>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</si>
  <si>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</si>
  <si>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</si>
  <si>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</si>
  <si>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</si>
  <si>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</si>
  <si>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</si>
  <si>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</si>
  <si>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</si>
  <si>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</si>
  <si>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</si>
  <si>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</si>
  <si>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</si>
  <si>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</si>
  <si>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</si>
  <si>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</si>
  <si>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</si>
  <si>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</si>
  <si>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</si>
  <si>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</si>
  <si>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</si>
  <si>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</si>
  <si>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</si>
  <si>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</si>
  <si>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</si>
  <si>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</si>
  <si>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</si>
  <si>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</si>
  <si>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</si>
  <si>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</si>
  <si>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</si>
  <si>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</si>
  <si>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</si>
  <si>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</si>
  <si>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</si>
  <si>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</si>
  <si>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</si>
  <si>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</si>
  <si>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</si>
  <si>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</si>
  <si>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</si>
  <si>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</si>
  <si>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</si>
  <si>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</si>
  <si>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</si>
  <si>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</si>
  <si>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</si>
  <si>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</si>
  <si>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</si>
  <si>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</si>
  <si>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</si>
  <si>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</si>
  <si>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</si>
  <si>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</si>
  <si>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</si>
  <si>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</si>
  <si>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</si>
  <si>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</si>
  <si>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</si>
  <si>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</si>
  <si>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</si>
  <si>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</si>
  <si>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</si>
  <si>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</si>
  <si>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</si>
  <si>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</si>
  <si>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</si>
  <si>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</si>
  <si>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</si>
  <si>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</si>
  <si>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</si>
  <si>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</si>
  <si>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</si>
  <si>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</si>
  <si>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</si>
  <si>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</si>
  <si>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</si>
  <si>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</si>
  <si>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</si>
  <si>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</si>
  <si>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</si>
  <si>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</si>
  <si>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</si>
  <si>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</si>
  <si>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</si>
  <si>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</si>
  <si>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</si>
  <si>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</si>
  <si>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</si>
  <si>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</si>
  <si>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</si>
  <si>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</si>
  <si>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</si>
  <si>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</si>
  <si>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</si>
  <si>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</si>
  <si>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</si>
  <si>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</si>
  <si>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</si>
  <si>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</si>
  <si>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</si>
  <si>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</si>
  <si>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</si>
  <si>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</si>
  <si>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</si>
  <si>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</si>
  <si>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</si>
  <si>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</si>
  <si>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</si>
  <si>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</si>
  <si>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</si>
  <si>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</si>
  <si>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</si>
  <si>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</si>
  <si>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</si>
  <si>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</si>
  <si>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</si>
  <si>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</si>
  <si>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</si>
  <si>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</si>
  <si>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</si>
  <si>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</si>
  <si>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</si>
  <si>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</si>
  <si>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</si>
  <si>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</si>
  <si>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</si>
  <si>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</si>
  <si>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</si>
  <si>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</si>
  <si>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</si>
  <si>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</si>
  <si>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</si>
  <si>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</si>
  <si>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</si>
  <si>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</si>
  <si>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</si>
  <si>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</si>
  <si>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</si>
  <si>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</si>
  <si>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</si>
  <si>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</si>
  <si>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</si>
  <si>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</si>
  <si>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</si>
  <si>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</si>
  <si>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</si>
  <si>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</si>
  <si>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</si>
  <si>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</si>
  <si>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</si>
  <si>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</si>
  <si>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</si>
  <si>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</si>
  <si>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</si>
  <si>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</si>
  <si>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</si>
  <si>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</si>
  <si>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</si>
  <si>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</si>
  <si>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</si>
  <si>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</si>
  <si>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</si>
  <si>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</si>
  <si>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</si>
  <si>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</si>
  <si>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</si>
  <si>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</si>
  <si>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</si>
  <si>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</si>
  <si>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</si>
  <si>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</si>
  <si>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</si>
  <si>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</si>
  <si>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</si>
  <si>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</si>
  <si>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</si>
  <si>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</si>
  <si>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</si>
  <si>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</si>
  <si>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</si>
  <si>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</si>
  <si>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</si>
  <si>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</si>
  <si>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</si>
  <si>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</si>
  <si>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</si>
  <si>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</si>
  <si>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</si>
  <si>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</si>
  <si>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</si>
  <si>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</si>
  <si>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</si>
  <si>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</si>
  <si>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</si>
  <si>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</si>
  <si>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</si>
  <si>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</si>
  <si>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</si>
  <si>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</si>
  <si>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</si>
  <si>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</si>
  <si>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</si>
  <si>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</si>
  <si>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</si>
  <si>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</si>
  <si>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</si>
  <si>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</si>
  <si>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</si>
  <si>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</si>
  <si>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</si>
  <si>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</si>
  <si>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</si>
  <si>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</si>
  <si>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</si>
  <si>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</si>
  <si>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</si>
  <si>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</si>
  <si>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</si>
  <si>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</si>
  <si>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</si>
  <si>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</si>
  <si>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</si>
  <si>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</si>
  <si>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</si>
  <si>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</si>
  <si>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</si>
  <si>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</si>
  <si>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</si>
  <si>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</si>
  <si>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</si>
  <si>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</si>
  <si>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</si>
  <si>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</si>
  <si>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</si>
  <si>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</si>
  <si>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</si>
  <si>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</si>
  <si>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</si>
  <si>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</si>
  <si>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</si>
  <si>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</si>
  <si>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</si>
  <si>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</si>
  <si>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</si>
  <si>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</si>
  <si>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</si>
  <si>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</si>
  <si>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</si>
  <si>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</si>
  <si>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</si>
  <si>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</si>
  <si>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</si>
  <si>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</si>
  <si>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</si>
  <si>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</si>
  <si>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</si>
  <si>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</si>
  <si>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</si>
  <si>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</si>
  <si>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</si>
  <si>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</si>
  <si>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</si>
  <si>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</si>
  <si>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</si>
  <si>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</si>
  <si>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</si>
  <si>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</si>
  <si>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</si>
  <si>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</si>
  <si>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</si>
  <si>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</si>
  <si>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</si>
  <si>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</si>
  <si>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</si>
  <si>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</si>
  <si>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</si>
  <si>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</si>
  <si>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</si>
  <si>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</si>
  <si>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</si>
  <si>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</si>
  <si>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</si>
  <si>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</si>
  <si>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</si>
  <si>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</si>
  <si>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</si>
  <si>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</si>
  <si>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</si>
  <si>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</si>
  <si>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</si>
  <si>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</si>
  <si>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</si>
  <si>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</si>
  <si>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</si>
  <si>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</si>
  <si>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</si>
  <si>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</si>
  <si>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</si>
  <si>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</si>
  <si>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</si>
  <si>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</si>
  <si>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</si>
  <si>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</si>
  <si>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</si>
  <si>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</si>
  <si>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</si>
  <si>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</si>
  <si>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</si>
  <si>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</si>
  <si>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</si>
  <si>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</si>
  <si>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</si>
  <si>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</si>
  <si>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</si>
  <si>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</si>
  <si>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</si>
  <si>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</si>
  <si>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</si>
  <si>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</si>
  <si>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</si>
  <si>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</si>
  <si>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</si>
  <si>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</si>
  <si>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</si>
  <si>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</si>
  <si>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</si>
  <si>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</si>
  <si>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</si>
  <si>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</si>
  <si>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</si>
  <si>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</si>
  <si>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</si>
  <si>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</si>
  <si>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</si>
  <si>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</si>
  <si>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</si>
  <si>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</si>
  <si>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</si>
  <si>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</si>
  <si>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</si>
  <si>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</si>
  <si>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</si>
  <si>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</si>
  <si>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</si>
  <si>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</si>
  <si>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</si>
  <si>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</si>
  <si>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</si>
  <si>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</si>
  <si>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</si>
  <si>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</si>
  <si>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</si>
  <si>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</si>
  <si>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</si>
  <si>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</si>
  <si>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</si>
  <si>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</si>
  <si>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</si>
  <si>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</si>
  <si>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</si>
  <si>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</si>
  <si>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</si>
  <si>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</si>
  <si>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</si>
  <si>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</si>
  <si>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</si>
  <si>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</si>
  <si>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</si>
  <si>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</si>
  <si>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</si>
  <si>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</si>
  <si>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</si>
  <si>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</si>
  <si>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</si>
  <si>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</si>
  <si>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</si>
  <si>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</si>
  <si>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</si>
  <si>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</si>
  <si>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</si>
  <si>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</si>
  <si>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</si>
  <si>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</si>
  <si>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</si>
  <si>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</si>
  <si>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</si>
  <si>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</si>
  <si>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</si>
  <si>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</si>
  <si>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</si>
  <si>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</si>
  <si>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</si>
  <si>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</si>
  <si>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</si>
  <si>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</si>
  <si>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</si>
  <si>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</si>
  <si>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</si>
  <si>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</si>
  <si>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</si>
  <si>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</si>
  <si>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</si>
  <si>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</si>
  <si>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</si>
  <si>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</si>
  <si>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</si>
  <si>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</si>
  <si>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</si>
  <si>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</si>
  <si>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</si>
  <si>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</si>
  <si>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</si>
  <si>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</si>
  <si>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</si>
  <si>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</si>
  <si>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</si>
  <si>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</si>
  <si>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</si>
  <si>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</si>
  <si>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</si>
  <si>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</si>
  <si>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</si>
  <si>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</si>
  <si>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</si>
  <si>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</si>
  <si>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</si>
  <si>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</si>
  <si>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</si>
  <si>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</si>
  <si>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</si>
  <si>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</si>
  <si>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</si>
  <si>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</si>
  <si>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</si>
  <si>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</si>
  <si>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</si>
  <si>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</si>
  <si>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</si>
  <si>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</si>
  <si>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</si>
  <si>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</si>
  <si>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</si>
  <si>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</si>
  <si>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</si>
  <si>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</si>
  <si>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</si>
  <si>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</si>
  <si>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</si>
  <si>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</si>
  <si>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</si>
  <si>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</si>
  <si>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</si>
  <si>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</si>
  <si>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</si>
  <si>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</si>
  <si>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</si>
  <si>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</si>
  <si>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</si>
  <si>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</si>
  <si>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</si>
  <si>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</si>
  <si>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</si>
  <si>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</si>
  <si>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</si>
  <si>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</si>
  <si>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</si>
  <si>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</si>
  <si>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</si>
  <si>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</si>
  <si>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</si>
  <si>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</si>
  <si>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</si>
  <si>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</si>
  <si>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</si>
  <si>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</si>
  <si>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</si>
  <si>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</si>
  <si>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</si>
  <si>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</si>
  <si>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</si>
  <si>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</si>
  <si>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</si>
  <si>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</si>
  <si>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</si>
  <si>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</si>
  <si>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</si>
  <si>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</si>
  <si>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</si>
  <si>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</si>
  <si>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</si>
  <si>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</si>
  <si>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</si>
  <si>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</si>
  <si>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</si>
  <si>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</si>
  <si>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</si>
  <si>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</si>
  <si>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</si>
  <si>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</si>
  <si>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</si>
  <si>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</si>
  <si>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</si>
  <si>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</si>
  <si>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</si>
  <si>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</si>
  <si>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</si>
  <si>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</si>
  <si>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</si>
  <si>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</si>
  <si>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</si>
  <si>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</si>
  <si>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</si>
  <si>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</si>
  <si>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</si>
  <si>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</si>
  <si>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</si>
  <si>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</si>
  <si>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</si>
  <si>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</si>
  <si>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</si>
  <si>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</si>
  <si>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</si>
  <si>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</si>
  <si>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</si>
  <si>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</si>
  <si>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</si>
  <si>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</si>
  <si>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</si>
  <si>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</si>
  <si>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</si>
  <si>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</si>
  <si>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</si>
  <si>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</si>
  <si>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</si>
  <si>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</si>
  <si>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</si>
  <si>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</si>
  <si>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</si>
  <si>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</si>
  <si>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</si>
  <si>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</si>
  <si>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</si>
  <si>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</si>
  <si>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</si>
  <si>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</si>
  <si>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</si>
  <si>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</si>
  <si>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</si>
  <si>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</si>
  <si>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</si>
  <si>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</si>
  <si>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</si>
  <si>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</si>
  <si>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</si>
  <si>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</si>
  <si>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</si>
  <si>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</si>
  <si>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</si>
  <si>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</si>
  <si>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</si>
  <si>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</si>
  <si>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</si>
  <si>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</si>
  <si>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</si>
  <si>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</si>
  <si>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</si>
  <si>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</si>
  <si>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</si>
  <si>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</si>
  <si>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</si>
  <si>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</si>
  <si>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</si>
  <si>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</si>
  <si>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</si>
  <si>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</si>
  <si>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</si>
  <si>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</si>
  <si>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</si>
  <si>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</si>
  <si>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</si>
  <si>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</si>
  <si>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</si>
  <si>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</si>
  <si>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</si>
  <si>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</si>
  <si>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</si>
  <si>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</si>
  <si>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</si>
  <si>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</si>
  <si>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</si>
  <si>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</si>
  <si>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</si>
  <si>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</si>
  <si>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</si>
  <si>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</si>
  <si>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</si>
  <si>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</si>
  <si>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</si>
  <si>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</si>
  <si>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</si>
  <si>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</si>
  <si>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</si>
  <si>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</si>
  <si>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</si>
  <si>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</si>
  <si>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</si>
  <si>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</si>
  <si>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</si>
  <si>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</si>
  <si>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</si>
  <si>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</si>
  <si>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</si>
  <si>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</si>
  <si>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</si>
  <si>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</si>
  <si>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</si>
  <si>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</si>
  <si>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</si>
  <si>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</si>
  <si>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</si>
  <si>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</si>
  <si>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</si>
  <si>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</si>
  <si>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</si>
  <si>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</si>
  <si>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</si>
  <si>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</si>
  <si>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</si>
  <si>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</si>
  <si>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</si>
  <si>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</si>
  <si>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</si>
  <si>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</si>
  <si>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</si>
  <si>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</si>
  <si>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</si>
  <si>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</si>
  <si>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</si>
  <si>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</si>
  <si>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</si>
  <si>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</si>
  <si>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</si>
  <si>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</si>
  <si>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</si>
  <si>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</si>
  <si>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</si>
  <si>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</si>
  <si>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</si>
  <si>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</si>
  <si>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</si>
  <si>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</si>
  <si>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</si>
  <si>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</si>
  <si>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</si>
  <si>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</si>
  <si>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</si>
  <si>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</si>
  <si>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</si>
  <si>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</si>
  <si>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</si>
  <si>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</si>
  <si>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</si>
  <si>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</si>
  <si>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</si>
  <si>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</si>
  <si>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</si>
  <si>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</si>
  <si>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</si>
  <si>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</si>
  <si>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</si>
  <si>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</si>
  <si>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</si>
  <si>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</si>
  <si>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</si>
  <si>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</si>
  <si>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</si>
  <si>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</si>
  <si>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</si>
  <si>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</si>
  <si>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</si>
  <si>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</si>
  <si>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</si>
  <si>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</si>
  <si>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</si>
  <si>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</si>
  <si>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</si>
  <si>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</si>
  <si>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</si>
  <si>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</si>
  <si>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</si>
  <si>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</si>
  <si>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</si>
  <si>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</si>
  <si>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</si>
  <si>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</si>
  <si>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</si>
  <si>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</si>
  <si>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</si>
  <si>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</si>
  <si>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</si>
  <si>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</si>
  <si>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</si>
  <si>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01 2 01 81090</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</si>
  <si>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</si>
  <si>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</si>
  <si>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</si>
  <si>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</si>
  <si>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</si>
  <si>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</si>
  <si>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</si>
  <si>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</si>
  <si>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</si>
  <si>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</si>
  <si>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</si>
  <si>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</si>
  <si>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31 9 00 26660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</si>
  <si>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</si>
  <si>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</si>
  <si>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</si>
  <si>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</si>
  <si>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</si>
  <si>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</si>
  <si>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05 5 00 00000</t>
  </si>
  <si>
    <t>Подпрограмма "Создание лесничеств и проведение лесоустройства на территории Южского муниципального района"</t>
  </si>
  <si>
    <t>05 5 01 00000</t>
  </si>
  <si>
    <t>Основное мероприятие "Проведение лесоустройства на территории Южского муниципального района"</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</si>
  <si>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</si>
  <si>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</si>
  <si>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03 1 02 25650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</si>
  <si>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</si>
  <si>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</si>
  <si>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03 1 01 26750</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</si>
  <si>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</si>
  <si>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</si>
  <si>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31 9 00 26760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</si>
  <si>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17.08.2023 года, исполнительное производство № 1979/23/37023-ИП от 13.01.2023 г. по АД № 1448/23/37023-АП от 11.08.2023 г. (Иные бюджетные ассигнования) </t>
  </si>
  <si>
    <t>Приложение № 4</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</si>
  <si>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</si>
  <si>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Ивановского областного суда от 03.07.2023г. по делу 33-1563/2023 (Иные бюджетные ассигнования) </t>
  </si>
  <si>
    <t>от 26.12.2023 № 122</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</si>
</sst>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60"/>
  <sheetViews>
    <sheetView tabSelected="1" zoomScale="90" zoomScaleNormal="90" workbookViewId="0">
      <selection activeCell="A9" sqref="A9"/>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798</v>
      </c>
      <c r="C1" s="37"/>
      <c r="D1" s="37"/>
    </row>
    <row r="2" spans="2:4">
      <c r="B2" s="37" t="s">
        <v>539</v>
      </c>
      <c r="C2" s="37"/>
      <c r="D2" s="37"/>
    </row>
    <row r="3" spans="2:4">
      <c r="B3" s="37" t="s">
        <v>540</v>
      </c>
      <c r="C3" s="37"/>
      <c r="D3" s="37"/>
    </row>
    <row r="4" spans="2:4">
      <c r="B4" s="37" t="s">
        <v>580</v>
      </c>
      <c r="C4" s="37"/>
      <c r="D4" s="37"/>
    </row>
    <row r="5" spans="2:4">
      <c r="B5" s="37" t="s">
        <v>581</v>
      </c>
      <c r="C5" s="37"/>
      <c r="D5" s="37"/>
    </row>
    <row r="6" spans="2:4">
      <c r="B6" s="37" t="s">
        <v>540</v>
      </c>
      <c r="C6" s="37"/>
      <c r="D6" s="37"/>
    </row>
    <row r="7" spans="2:4">
      <c r="B7" s="37" t="s">
        <v>585</v>
      </c>
      <c r="C7" s="37"/>
      <c r="D7" s="37"/>
    </row>
    <row r="8" spans="2:4">
      <c r="B8" s="37" t="s">
        <v>586</v>
      </c>
      <c r="C8" s="37"/>
      <c r="D8" s="37"/>
    </row>
    <row r="9" spans="2:4">
      <c r="B9" s="37" t="s">
        <v>542</v>
      </c>
      <c r="C9" s="37"/>
      <c r="D9" s="37"/>
    </row>
    <row r="10" spans="2:4">
      <c r="B10" s="37" t="s">
        <v>582</v>
      </c>
      <c r="C10" s="37"/>
      <c r="D10" s="37"/>
    </row>
    <row r="11" spans="2:4">
      <c r="B11" s="37" t="s">
        <v>801</v>
      </c>
      <c r="C11" s="37"/>
      <c r="D11" s="37"/>
    </row>
    <row r="12" spans="2:4" ht="12" customHeight="1"/>
    <row r="13" spans="2:4">
      <c r="B13" s="37" t="s">
        <v>587</v>
      </c>
      <c r="C13" s="37"/>
      <c r="D13" s="37"/>
    </row>
    <row r="14" spans="2:4">
      <c r="B14" s="37" t="s">
        <v>539</v>
      </c>
      <c r="C14" s="37"/>
      <c r="D14" s="37"/>
    </row>
    <row r="15" spans="2:4">
      <c r="B15" s="37" t="s">
        <v>540</v>
      </c>
      <c r="C15" s="37"/>
      <c r="D15" s="37"/>
    </row>
    <row r="16" spans="2:4">
      <c r="B16" s="37" t="s">
        <v>541</v>
      </c>
      <c r="C16" s="37"/>
      <c r="D16" s="37"/>
    </row>
    <row r="17" spans="1:4">
      <c r="B17" s="37" t="s">
        <v>540</v>
      </c>
      <c r="C17" s="37"/>
      <c r="D17" s="37"/>
    </row>
    <row r="18" spans="1:4">
      <c r="B18" s="37" t="s">
        <v>542</v>
      </c>
      <c r="C18" s="37"/>
      <c r="D18" s="37"/>
    </row>
    <row r="19" spans="1:4">
      <c r="B19" s="37" t="s">
        <v>543</v>
      </c>
      <c r="C19" s="37"/>
      <c r="D19" s="37"/>
    </row>
    <row r="20" spans="1:4">
      <c r="B20" s="38" t="s">
        <v>588</v>
      </c>
      <c r="C20" s="37"/>
      <c r="D20" s="37"/>
    </row>
    <row r="22" spans="1:4" ht="132" customHeight="1">
      <c r="A22" s="41" t="s">
        <v>496</v>
      </c>
      <c r="B22" s="41"/>
      <c r="C22" s="41"/>
      <c r="D22" s="41"/>
    </row>
    <row r="23" spans="1:4" ht="15" customHeight="1">
      <c r="A23" s="42"/>
      <c r="B23" s="42"/>
      <c r="C23" s="42"/>
    </row>
    <row r="24" spans="1:4" ht="18.75" customHeight="1">
      <c r="A24" s="43" t="s">
        <v>125</v>
      </c>
      <c r="B24" s="43" t="s">
        <v>126</v>
      </c>
      <c r="C24" s="43" t="s">
        <v>127</v>
      </c>
      <c r="D24" s="39" t="s">
        <v>411</v>
      </c>
    </row>
    <row r="25" spans="1:4" ht="54.75" customHeight="1">
      <c r="A25" s="44"/>
      <c r="B25" s="44"/>
      <c r="C25" s="44"/>
      <c r="D25" s="40"/>
    </row>
    <row r="26" spans="1:4">
      <c r="A26" s="15">
        <v>1</v>
      </c>
      <c r="B26" s="15">
        <v>2</v>
      </c>
      <c r="C26" s="15">
        <v>3</v>
      </c>
      <c r="D26" s="34">
        <v>4</v>
      </c>
    </row>
    <row r="27" spans="1:4" s="4" customFormat="1" ht="47.25" customHeight="1">
      <c r="A27" s="16" t="s">
        <v>166</v>
      </c>
      <c r="B27" s="17" t="s">
        <v>0</v>
      </c>
      <c r="C27" s="17"/>
      <c r="D27" s="13">
        <f>D28+D51+D89+D106+D113+D120+D124+D129+D132</f>
        <v>291596227.27999997</v>
      </c>
    </row>
    <row r="28" spans="1:4" s="4" customFormat="1" ht="75">
      <c r="A28" s="16" t="s">
        <v>167</v>
      </c>
      <c r="B28" s="17" t="s">
        <v>1</v>
      </c>
      <c r="C28" s="17"/>
      <c r="D28" s="13">
        <f>D29+D35+D45</f>
        <v>95738912.899999991</v>
      </c>
    </row>
    <row r="29" spans="1:4" s="3" customFormat="1" ht="36.75" customHeight="1">
      <c r="A29" s="18" t="s">
        <v>168</v>
      </c>
      <c r="B29" s="19" t="s">
        <v>2</v>
      </c>
      <c r="C29" s="19"/>
      <c r="D29" s="14">
        <f t="shared" ref="D29" si="0">SUM(D30:D34)</f>
        <v>77890181.919999987</v>
      </c>
    </row>
    <row r="30" spans="1:4" ht="137.25" customHeight="1">
      <c r="A30" s="20" t="s">
        <v>169</v>
      </c>
      <c r="B30" s="12" t="s">
        <v>3</v>
      </c>
      <c r="C30" s="12">
        <v>100</v>
      </c>
      <c r="D30" s="5">
        <f>1193595+75229.55</f>
        <v>1268824.55</v>
      </c>
    </row>
    <row r="31" spans="1:4" ht="102.75" customHeight="1">
      <c r="A31" s="11" t="s">
        <v>170</v>
      </c>
      <c r="B31" s="12" t="s">
        <v>3</v>
      </c>
      <c r="C31" s="12">
        <v>200</v>
      </c>
      <c r="D31" s="5">
        <v>366700</v>
      </c>
    </row>
    <row r="32" spans="1:4" ht="111" customHeight="1">
      <c r="A32" s="20" t="s">
        <v>171</v>
      </c>
      <c r="B32" s="12" t="s">
        <v>3</v>
      </c>
      <c r="C32" s="12">
        <v>600</v>
      </c>
      <c r="D32" s="5">
        <f>31987789.29+889965.58+3351.77+19765.77+858692.98-98500-225000-1037503.02</f>
        <v>32398562.369999994</v>
      </c>
    </row>
    <row r="33" spans="1:4" ht="91.5" customHeight="1">
      <c r="A33" s="20" t="s">
        <v>375</v>
      </c>
      <c r="B33" s="12" t="s">
        <v>4</v>
      </c>
      <c r="C33" s="12">
        <v>600</v>
      </c>
      <c r="D33" s="5">
        <v>30000</v>
      </c>
    </row>
    <row r="34" spans="1:4" ht="168.75" customHeight="1">
      <c r="A34" s="20" t="s">
        <v>396</v>
      </c>
      <c r="B34" s="12" t="s">
        <v>358</v>
      </c>
      <c r="C34" s="12">
        <v>600</v>
      </c>
      <c r="D34" s="5">
        <f>40826697+713705+2285693</f>
        <v>43826095</v>
      </c>
    </row>
    <row r="35" spans="1:4" s="3" customFormat="1" ht="49.5" customHeight="1">
      <c r="A35" s="18" t="s">
        <v>5</v>
      </c>
      <c r="B35" s="19" t="s">
        <v>156</v>
      </c>
      <c r="C35" s="19"/>
      <c r="D35" s="14">
        <f>SUM(D36:D44)</f>
        <v>15922183.76</v>
      </c>
    </row>
    <row r="36" spans="1:4" ht="93" customHeight="1">
      <c r="A36" s="20" t="s">
        <v>137</v>
      </c>
      <c r="B36" s="12" t="s">
        <v>6</v>
      </c>
      <c r="C36" s="12">
        <v>600</v>
      </c>
      <c r="D36" s="5">
        <f>490200+302472.88</f>
        <v>792672.88</v>
      </c>
    </row>
    <row r="37" spans="1:4" ht="111.75" customHeight="1">
      <c r="A37" s="20" t="s">
        <v>591</v>
      </c>
      <c r="B37" s="12" t="s">
        <v>589</v>
      </c>
      <c r="C37" s="12">
        <v>600</v>
      </c>
      <c r="D37" s="5">
        <f>216161.62+25848.72</f>
        <v>242010.34</v>
      </c>
    </row>
    <row r="38" spans="1:4" ht="96.75" customHeight="1">
      <c r="A38" s="20" t="s">
        <v>592</v>
      </c>
      <c r="B38" s="12" t="s">
        <v>590</v>
      </c>
      <c r="C38" s="12">
        <v>600</v>
      </c>
      <c r="D38" s="5">
        <v>63987.5</v>
      </c>
    </row>
    <row r="39" spans="1:4" ht="73.5" customHeight="1">
      <c r="A39" s="20" t="s">
        <v>649</v>
      </c>
      <c r="B39" s="12" t="s">
        <v>648</v>
      </c>
      <c r="C39" s="12">
        <v>600</v>
      </c>
      <c r="D39" s="5">
        <v>234320</v>
      </c>
    </row>
    <row r="40" spans="1:4" ht="103.5" customHeight="1">
      <c r="A40" s="20" t="s">
        <v>674</v>
      </c>
      <c r="B40" s="12" t="s">
        <v>673</v>
      </c>
      <c r="C40" s="12">
        <v>600</v>
      </c>
      <c r="D40" s="5">
        <v>599672.54</v>
      </c>
    </row>
    <row r="41" spans="1:4" ht="102" customHeight="1">
      <c r="A41" s="20" t="s">
        <v>719</v>
      </c>
      <c r="B41" s="12" t="s">
        <v>720</v>
      </c>
      <c r="C41" s="12">
        <v>600</v>
      </c>
      <c r="D41" s="5">
        <v>32573.040000000001</v>
      </c>
    </row>
    <row r="42" spans="1:4" ht="103.5" customHeight="1">
      <c r="A42" s="20" t="s">
        <v>721</v>
      </c>
      <c r="B42" s="12" t="s">
        <v>722</v>
      </c>
      <c r="C42" s="12">
        <v>600</v>
      </c>
      <c r="D42" s="5">
        <v>32361.599999999999</v>
      </c>
    </row>
    <row r="43" spans="1:4" ht="103.5" customHeight="1">
      <c r="A43" s="20" t="s">
        <v>761</v>
      </c>
      <c r="B43" s="12" t="s">
        <v>760</v>
      </c>
      <c r="C43" s="12">
        <v>600</v>
      </c>
      <c r="D43" s="5">
        <v>200000</v>
      </c>
    </row>
    <row r="44" spans="1:4" ht="131.25" customHeight="1">
      <c r="A44" s="20" t="s">
        <v>653</v>
      </c>
      <c r="B44" s="12" t="s">
        <v>652</v>
      </c>
      <c r="C44" s="12">
        <v>600</v>
      </c>
      <c r="D44" s="5">
        <f>10000000+101010.1+1077030+1198145.76+1348400</f>
        <v>13724585.859999999</v>
      </c>
    </row>
    <row r="45" spans="1:4" s="3" customFormat="1" ht="68.25" customHeight="1">
      <c r="A45" s="18" t="s">
        <v>172</v>
      </c>
      <c r="B45" s="19" t="s">
        <v>7</v>
      </c>
      <c r="C45" s="19"/>
      <c r="D45" s="14">
        <f>SUM(D46:D50)</f>
        <v>1926547.22</v>
      </c>
    </row>
    <row r="46" spans="1:4" s="3" customFormat="1" ht="408.75" customHeight="1">
      <c r="A46" s="11" t="s">
        <v>647</v>
      </c>
      <c r="B46" s="12" t="s">
        <v>637</v>
      </c>
      <c r="C46" s="12">
        <v>600</v>
      </c>
      <c r="D46" s="5">
        <v>6219.05</v>
      </c>
    </row>
    <row r="47" spans="1:4" ht="174.75" customHeight="1">
      <c r="A47" s="20" t="s">
        <v>157</v>
      </c>
      <c r="B47" s="12" t="s">
        <v>8</v>
      </c>
      <c r="C47" s="12">
        <v>600</v>
      </c>
      <c r="D47" s="5">
        <f>439140+64178</f>
        <v>503318</v>
      </c>
    </row>
    <row r="48" spans="1:4" ht="129" customHeight="1">
      <c r="A48" s="20" t="s">
        <v>173</v>
      </c>
      <c r="B48" s="12" t="s">
        <v>9</v>
      </c>
      <c r="C48" s="12">
        <v>300</v>
      </c>
      <c r="D48" s="5">
        <f>1241357.93-338778.21+39801.06</f>
        <v>942380.78</v>
      </c>
    </row>
    <row r="49" spans="1:5" ht="408.75" customHeight="1">
      <c r="A49" s="11" t="s">
        <v>762</v>
      </c>
      <c r="B49" s="12" t="s">
        <v>683</v>
      </c>
      <c r="C49" s="12">
        <v>200</v>
      </c>
      <c r="D49" s="5">
        <v>5062.68</v>
      </c>
    </row>
    <row r="50" spans="1:5" ht="408.75" customHeight="1">
      <c r="A50" s="11" t="s">
        <v>684</v>
      </c>
      <c r="B50" s="12" t="s">
        <v>683</v>
      </c>
      <c r="C50" s="12">
        <v>600</v>
      </c>
      <c r="D50" s="5">
        <f>745321.23-5062.68-270691.84</f>
        <v>469566.7099999999</v>
      </c>
    </row>
    <row r="51" spans="1:5" s="4" customFormat="1" ht="85.5" customHeight="1">
      <c r="A51" s="16" t="s">
        <v>174</v>
      </c>
      <c r="B51" s="17" t="s">
        <v>10</v>
      </c>
      <c r="C51" s="17"/>
      <c r="D51" s="13">
        <f>D52+D65+D84+D87</f>
        <v>157726899.78000003</v>
      </c>
    </row>
    <row r="52" spans="1:5" s="3" customFormat="1" ht="48" customHeight="1">
      <c r="A52" s="18" t="s">
        <v>175</v>
      </c>
      <c r="B52" s="19" t="s">
        <v>11</v>
      </c>
      <c r="C52" s="19"/>
      <c r="D52" s="14">
        <f>SUM(D53:D64)</f>
        <v>137239050.92000002</v>
      </c>
    </row>
    <row r="53" spans="1:5" ht="148.5" customHeight="1">
      <c r="A53" s="20" t="s">
        <v>176</v>
      </c>
      <c r="B53" s="12" t="s">
        <v>12</v>
      </c>
      <c r="C53" s="12">
        <v>100</v>
      </c>
      <c r="D53" s="5">
        <f>5977160.08-572925.72+340037.57</f>
        <v>5744271.9300000006</v>
      </c>
    </row>
    <row r="54" spans="1:5" ht="112.5" customHeight="1">
      <c r="A54" s="20" t="s">
        <v>177</v>
      </c>
      <c r="B54" s="12" t="s">
        <v>12</v>
      </c>
      <c r="C54" s="12">
        <v>200</v>
      </c>
      <c r="D54" s="5">
        <f>11827907.1-2232874.2+219171+150515.64+6079.45+340282.93+823262.35-700000+98500+840906.75-20000+90000</f>
        <v>11443751.019999998</v>
      </c>
    </row>
    <row r="55" spans="1:5" ht="93.75">
      <c r="A55" s="20" t="s">
        <v>138</v>
      </c>
      <c r="B55" s="12" t="s">
        <v>12</v>
      </c>
      <c r="C55" s="12">
        <v>600</v>
      </c>
      <c r="D55" s="5">
        <f>15073713.36+2819399.92+1464806.17+364118.41+69440.4+49392.68+188743.37+4996.32+334480.53+1031633.37-90000</f>
        <v>21310724.530000005</v>
      </c>
    </row>
    <row r="56" spans="1:5" ht="98.25" customHeight="1">
      <c r="A56" s="20" t="s">
        <v>178</v>
      </c>
      <c r="B56" s="12" t="s">
        <v>12</v>
      </c>
      <c r="C56" s="12">
        <v>800</v>
      </c>
      <c r="D56" s="5">
        <f>311348.4-13600-163939.4-25299.91+20000</f>
        <v>128509.09000000003</v>
      </c>
    </row>
    <row r="57" spans="1:5" ht="93.75" customHeight="1">
      <c r="A57" s="20" t="s">
        <v>631</v>
      </c>
      <c r="B57" s="12" t="s">
        <v>630</v>
      </c>
      <c r="C57" s="12">
        <v>200</v>
      </c>
      <c r="D57" s="5">
        <f>60000+50000</f>
        <v>110000</v>
      </c>
    </row>
    <row r="58" spans="1:5" ht="238.5" customHeight="1">
      <c r="A58" s="20" t="s">
        <v>472</v>
      </c>
      <c r="B58" s="30" t="s">
        <v>473</v>
      </c>
      <c r="C58" s="12">
        <v>100</v>
      </c>
      <c r="D58" s="5">
        <f>32659636+326022.5-1594805.1</f>
        <v>31390853.399999999</v>
      </c>
      <c r="E58" s="33"/>
    </row>
    <row r="59" spans="1:5" ht="205.5" customHeight="1">
      <c r="A59" s="20" t="s">
        <v>474</v>
      </c>
      <c r="B59" s="30" t="s">
        <v>473</v>
      </c>
      <c r="C59" s="12">
        <v>200</v>
      </c>
      <c r="D59" s="5">
        <f>462262-19909.32</f>
        <v>442352.68</v>
      </c>
    </row>
    <row r="60" spans="1:5" ht="201.75" customHeight="1">
      <c r="A60" s="20" t="s">
        <v>475</v>
      </c>
      <c r="B60" s="30" t="s">
        <v>473</v>
      </c>
      <c r="C60" s="12">
        <v>600</v>
      </c>
      <c r="D60" s="5">
        <f>58364004.75+595433.5-2508945.98</f>
        <v>56450492.270000003</v>
      </c>
    </row>
    <row r="61" spans="1:5" ht="210.75" customHeight="1">
      <c r="A61" s="20" t="s">
        <v>763</v>
      </c>
      <c r="B61" s="30" t="s">
        <v>764</v>
      </c>
      <c r="C61" s="12">
        <v>100</v>
      </c>
      <c r="D61" s="5">
        <v>718704</v>
      </c>
    </row>
    <row r="62" spans="1:5" ht="184.5" customHeight="1">
      <c r="A62" s="20" t="s">
        <v>765</v>
      </c>
      <c r="B62" s="30" t="s">
        <v>764</v>
      </c>
      <c r="C62" s="12">
        <v>600</v>
      </c>
      <c r="D62" s="5">
        <v>984312</v>
      </c>
    </row>
    <row r="63" spans="1:5" ht="272.25" customHeight="1">
      <c r="A63" s="20" t="s">
        <v>594</v>
      </c>
      <c r="B63" s="30" t="s">
        <v>593</v>
      </c>
      <c r="C63" s="12">
        <v>100</v>
      </c>
      <c r="D63" s="5">
        <f>4765320-1171800-312480+156240</f>
        <v>3437280</v>
      </c>
    </row>
    <row r="64" spans="1:5" ht="260.25" customHeight="1">
      <c r="A64" s="20" t="s">
        <v>595</v>
      </c>
      <c r="B64" s="30" t="s">
        <v>593</v>
      </c>
      <c r="C64" s="12">
        <v>600</v>
      </c>
      <c r="D64" s="5">
        <f>3906000+1171800</f>
        <v>5077800</v>
      </c>
    </row>
    <row r="65" spans="1:4" s="3" customFormat="1" ht="53.25" customHeight="1">
      <c r="A65" s="18" t="s">
        <v>315</v>
      </c>
      <c r="B65" s="19" t="s">
        <v>13</v>
      </c>
      <c r="C65" s="19"/>
      <c r="D65" s="14">
        <f>SUM(D66:D83)</f>
        <v>20274315.43</v>
      </c>
    </row>
    <row r="66" spans="1:4" ht="75">
      <c r="A66" s="20" t="s">
        <v>139</v>
      </c>
      <c r="B66" s="12" t="s">
        <v>14</v>
      </c>
      <c r="C66" s="12">
        <v>600</v>
      </c>
      <c r="D66" s="5">
        <f>4973200.4+300918.2</f>
        <v>5274118.6000000006</v>
      </c>
    </row>
    <row r="67" spans="1:4" ht="85.5" customHeight="1">
      <c r="A67" s="20" t="s">
        <v>145</v>
      </c>
      <c r="B67" s="12" t="s">
        <v>15</v>
      </c>
      <c r="C67" s="12">
        <v>200</v>
      </c>
      <c r="D67" s="5">
        <f>553200-110000-178274.22</f>
        <v>264925.78000000003</v>
      </c>
    </row>
    <row r="68" spans="1:4" ht="102.75" customHeight="1">
      <c r="A68" s="20" t="s">
        <v>140</v>
      </c>
      <c r="B68" s="12" t="s">
        <v>15</v>
      </c>
      <c r="C68" s="12">
        <v>600</v>
      </c>
      <c r="D68" s="5">
        <f>305000+110000-58599.07</f>
        <v>356400.93</v>
      </c>
    </row>
    <row r="69" spans="1:4" ht="84.75" customHeight="1">
      <c r="A69" s="11" t="s">
        <v>597</v>
      </c>
      <c r="B69" s="12" t="s">
        <v>596</v>
      </c>
      <c r="C69" s="12">
        <v>200</v>
      </c>
      <c r="D69" s="5">
        <v>4573.21</v>
      </c>
    </row>
    <row r="70" spans="1:4" ht="91.5" customHeight="1">
      <c r="A70" s="11" t="s">
        <v>452</v>
      </c>
      <c r="B70" s="12" t="s">
        <v>451</v>
      </c>
      <c r="C70" s="12">
        <v>600</v>
      </c>
      <c r="D70" s="5">
        <f>1106050+240350-311240</f>
        <v>1035160</v>
      </c>
    </row>
    <row r="71" spans="1:4" ht="93.75" customHeight="1">
      <c r="A71" s="11" t="s">
        <v>638</v>
      </c>
      <c r="B71" s="12" t="s">
        <v>636</v>
      </c>
      <c r="C71" s="12">
        <v>200</v>
      </c>
      <c r="D71" s="5">
        <v>598303.5</v>
      </c>
    </row>
    <row r="72" spans="1:4" ht="92.25" customHeight="1">
      <c r="A72" s="11" t="s">
        <v>650</v>
      </c>
      <c r="B72" s="12" t="s">
        <v>651</v>
      </c>
      <c r="C72" s="12">
        <v>200</v>
      </c>
      <c r="D72" s="5">
        <v>369600</v>
      </c>
    </row>
    <row r="73" spans="1:4" ht="77.25" customHeight="1">
      <c r="A73" s="11" t="s">
        <v>656</v>
      </c>
      <c r="B73" s="12" t="s">
        <v>654</v>
      </c>
      <c r="C73" s="12">
        <v>200</v>
      </c>
      <c r="D73" s="5">
        <v>264108</v>
      </c>
    </row>
    <row r="74" spans="1:4" ht="71.25" customHeight="1">
      <c r="A74" s="11" t="s">
        <v>657</v>
      </c>
      <c r="B74" s="12" t="s">
        <v>654</v>
      </c>
      <c r="C74" s="12">
        <v>600</v>
      </c>
      <c r="D74" s="5">
        <v>290976</v>
      </c>
    </row>
    <row r="75" spans="1:4" ht="105" customHeight="1">
      <c r="A75" s="11" t="s">
        <v>658</v>
      </c>
      <c r="B75" s="12" t="s">
        <v>655</v>
      </c>
      <c r="C75" s="12">
        <v>200</v>
      </c>
      <c r="D75" s="5">
        <f>664040-64157.79</f>
        <v>599882.21</v>
      </c>
    </row>
    <row r="76" spans="1:4" ht="75" customHeight="1">
      <c r="A76" s="11" t="s">
        <v>688</v>
      </c>
      <c r="B76" s="12" t="s">
        <v>686</v>
      </c>
      <c r="C76" s="12">
        <v>600</v>
      </c>
      <c r="D76" s="5">
        <v>150000</v>
      </c>
    </row>
    <row r="77" spans="1:4" ht="90.75" customHeight="1">
      <c r="A77" s="11" t="s">
        <v>687</v>
      </c>
      <c r="B77" s="12" t="s">
        <v>685</v>
      </c>
      <c r="C77" s="12">
        <v>600</v>
      </c>
      <c r="D77" s="5">
        <v>599997.78</v>
      </c>
    </row>
    <row r="78" spans="1:4" ht="90.75" customHeight="1">
      <c r="A78" s="11" t="s">
        <v>749</v>
      </c>
      <c r="B78" s="12" t="s">
        <v>748</v>
      </c>
      <c r="C78" s="12">
        <v>600</v>
      </c>
      <c r="D78" s="5">
        <v>261500</v>
      </c>
    </row>
    <row r="79" spans="1:4" ht="90.75" customHeight="1">
      <c r="A79" s="11" t="s">
        <v>755</v>
      </c>
      <c r="B79" s="12" t="s">
        <v>754</v>
      </c>
      <c r="C79" s="12">
        <v>200</v>
      </c>
      <c r="D79" s="5">
        <v>1196219.17</v>
      </c>
    </row>
    <row r="80" spans="1:4" ht="408.75" customHeight="1">
      <c r="A80" s="11" t="s">
        <v>598</v>
      </c>
      <c r="B80" s="12" t="s">
        <v>564</v>
      </c>
      <c r="C80" s="35">
        <v>200</v>
      </c>
      <c r="D80" s="5">
        <f>710488.64-600000</f>
        <v>110488.64000000001</v>
      </c>
    </row>
    <row r="81" spans="1:5" ht="408.75" customHeight="1">
      <c r="A81" s="11" t="s">
        <v>599</v>
      </c>
      <c r="B81" s="12" t="s">
        <v>564</v>
      </c>
      <c r="C81" s="35">
        <v>600</v>
      </c>
      <c r="D81" s="5">
        <f>700000-170679.36</f>
        <v>529320.64</v>
      </c>
    </row>
    <row r="82" spans="1:5" ht="132" customHeight="1">
      <c r="A82" s="11" t="s">
        <v>489</v>
      </c>
      <c r="B82" s="12" t="s">
        <v>426</v>
      </c>
      <c r="C82" s="12">
        <v>200</v>
      </c>
      <c r="D82" s="5">
        <f>969628.6+685.6</f>
        <v>970314.2</v>
      </c>
      <c r="E82" s="33"/>
    </row>
    <row r="83" spans="1:5" ht="125.25" customHeight="1">
      <c r="A83" s="11" t="s">
        <v>490</v>
      </c>
      <c r="B83" s="12" t="s">
        <v>426</v>
      </c>
      <c r="C83" s="12">
        <v>600</v>
      </c>
      <c r="D83" s="5">
        <f>7393199.26+5227.51</f>
        <v>7398426.7699999996</v>
      </c>
    </row>
    <row r="84" spans="1:5" ht="0.75" hidden="1" customHeight="1">
      <c r="A84" s="21" t="s">
        <v>400</v>
      </c>
      <c r="B84" s="19" t="s">
        <v>401</v>
      </c>
      <c r="C84" s="19"/>
      <c r="D84" s="14">
        <f>D85</f>
        <v>0</v>
      </c>
    </row>
    <row r="85" spans="1:5" ht="118.5" hidden="1" customHeight="1">
      <c r="A85" s="11" t="s">
        <v>477</v>
      </c>
      <c r="B85" s="12" t="s">
        <v>476</v>
      </c>
      <c r="C85" s="12">
        <v>600</v>
      </c>
      <c r="D85" s="5">
        <v>0</v>
      </c>
    </row>
    <row r="86" spans="1:5" ht="111.75" hidden="1" customHeight="1">
      <c r="A86" s="11" t="s">
        <v>439</v>
      </c>
      <c r="B86" s="12" t="s">
        <v>438</v>
      </c>
      <c r="C86" s="12">
        <v>600</v>
      </c>
      <c r="D86" s="5">
        <v>0</v>
      </c>
    </row>
    <row r="87" spans="1:5" ht="52.5" customHeight="1">
      <c r="A87" s="21" t="s">
        <v>632</v>
      </c>
      <c r="B87" s="19" t="s">
        <v>635</v>
      </c>
      <c r="C87" s="19"/>
      <c r="D87" s="14">
        <f>D88</f>
        <v>213533.43</v>
      </c>
    </row>
    <row r="88" spans="1:5" ht="156" customHeight="1">
      <c r="A88" s="11" t="s">
        <v>633</v>
      </c>
      <c r="B88" s="12" t="s">
        <v>634</v>
      </c>
      <c r="C88" s="12">
        <v>600</v>
      </c>
      <c r="D88" s="5">
        <v>213533.43</v>
      </c>
    </row>
    <row r="89" spans="1:5" ht="46.5" customHeight="1">
      <c r="A89" s="16" t="s">
        <v>17</v>
      </c>
      <c r="B89" s="17" t="s">
        <v>16</v>
      </c>
      <c r="C89" s="17"/>
      <c r="D89" s="13">
        <f>D90+D95+D103</f>
        <v>23606575.09</v>
      </c>
    </row>
    <row r="90" spans="1:5" ht="54" customHeight="1">
      <c r="A90" s="18" t="s">
        <v>19</v>
      </c>
      <c r="B90" s="19" t="s">
        <v>18</v>
      </c>
      <c r="C90" s="19"/>
      <c r="D90" s="14">
        <f>SUM(D91:D94)</f>
        <v>13879144.640000001</v>
      </c>
    </row>
    <row r="91" spans="1:5" ht="75.75" customHeight="1">
      <c r="A91" s="20" t="s">
        <v>141</v>
      </c>
      <c r="B91" s="12" t="s">
        <v>20</v>
      </c>
      <c r="C91" s="12">
        <v>600</v>
      </c>
      <c r="D91" s="5">
        <f>10461406.55-1730430+255028.17+6139.69+98726.99-25000</f>
        <v>9065871.4000000004</v>
      </c>
    </row>
    <row r="92" spans="1:5" ht="123" customHeight="1">
      <c r="A92" s="20" t="s">
        <v>498</v>
      </c>
      <c r="B92" s="12" t="s">
        <v>497</v>
      </c>
      <c r="C92" s="12">
        <v>600</v>
      </c>
      <c r="D92" s="5">
        <f>2166938.63-4796.39-668600.04-11484.03</f>
        <v>1482058.1699999997</v>
      </c>
    </row>
    <row r="93" spans="1:5" ht="138" customHeight="1">
      <c r="A93" s="20" t="s">
        <v>544</v>
      </c>
      <c r="B93" s="12" t="s">
        <v>545</v>
      </c>
      <c r="C93" s="12">
        <v>600</v>
      </c>
      <c r="D93" s="5">
        <f>2345721.71+945518.78</f>
        <v>3291240.49</v>
      </c>
    </row>
    <row r="94" spans="1:5" ht="117" customHeight="1">
      <c r="A94" s="20" t="s">
        <v>449</v>
      </c>
      <c r="B94" s="12" t="s">
        <v>450</v>
      </c>
      <c r="C94" s="12">
        <v>600</v>
      </c>
      <c r="D94" s="5">
        <f>23694.16+4796.39+11484.03</f>
        <v>39974.58</v>
      </c>
    </row>
    <row r="95" spans="1:5" ht="37.5">
      <c r="A95" s="18" t="s">
        <v>334</v>
      </c>
      <c r="B95" s="19" t="s">
        <v>335</v>
      </c>
      <c r="C95" s="19"/>
      <c r="D95" s="14">
        <f>SUM(D96:D102)</f>
        <v>7997000.4500000002</v>
      </c>
    </row>
    <row r="96" spans="1:5" ht="75">
      <c r="A96" s="20" t="s">
        <v>338</v>
      </c>
      <c r="B96" s="12" t="s">
        <v>336</v>
      </c>
      <c r="C96" s="12">
        <v>600</v>
      </c>
      <c r="D96" s="5">
        <f>151600-65599.59</f>
        <v>86000.41</v>
      </c>
    </row>
    <row r="97" spans="1:5" ht="112.5">
      <c r="A97" s="20" t="s">
        <v>791</v>
      </c>
      <c r="B97" s="12" t="s">
        <v>790</v>
      </c>
      <c r="C97" s="12">
        <v>600</v>
      </c>
      <c r="D97" s="5">
        <v>30000</v>
      </c>
    </row>
    <row r="98" spans="1:5" ht="56.25">
      <c r="A98" s="20" t="s">
        <v>708</v>
      </c>
      <c r="B98" s="12" t="s">
        <v>707</v>
      </c>
      <c r="C98" s="12">
        <v>600</v>
      </c>
      <c r="D98" s="5">
        <f>700000+544100</f>
        <v>1244100</v>
      </c>
    </row>
    <row r="99" spans="1:5" ht="56.25">
      <c r="A99" s="20" t="s">
        <v>710</v>
      </c>
      <c r="B99" s="12" t="s">
        <v>709</v>
      </c>
      <c r="C99" s="12">
        <v>600</v>
      </c>
      <c r="D99" s="5">
        <v>598360</v>
      </c>
    </row>
    <row r="100" spans="1:5" ht="56.25">
      <c r="A100" s="20" t="s">
        <v>768</v>
      </c>
      <c r="B100" s="12" t="s">
        <v>766</v>
      </c>
      <c r="C100" s="12">
        <v>600</v>
      </c>
      <c r="D100" s="5">
        <v>382780</v>
      </c>
    </row>
    <row r="101" spans="1:5" ht="79.5" customHeight="1">
      <c r="A101" s="20" t="s">
        <v>783</v>
      </c>
      <c r="B101" s="12" t="s">
        <v>767</v>
      </c>
      <c r="C101" s="12">
        <v>600</v>
      </c>
      <c r="D101" s="5">
        <v>210744.04</v>
      </c>
    </row>
    <row r="102" spans="1:5" ht="56.25">
      <c r="A102" s="20" t="s">
        <v>601</v>
      </c>
      <c r="B102" s="12" t="s">
        <v>600</v>
      </c>
      <c r="C102" s="12">
        <v>600</v>
      </c>
      <c r="D102" s="5">
        <f>84924-84924+54450.16+5390565.84</f>
        <v>5445016</v>
      </c>
    </row>
    <row r="103" spans="1:5" ht="56.25">
      <c r="A103" s="18" t="s">
        <v>565</v>
      </c>
      <c r="B103" s="19" t="s">
        <v>566</v>
      </c>
      <c r="C103" s="19"/>
      <c r="D103" s="14">
        <f>SUM(D104:D105)</f>
        <v>1730430</v>
      </c>
    </row>
    <row r="104" spans="1:5" ht="75">
      <c r="A104" s="20" t="s">
        <v>567</v>
      </c>
      <c r="B104" s="12" t="s">
        <v>568</v>
      </c>
      <c r="C104" s="12">
        <v>600</v>
      </c>
      <c r="D104" s="5">
        <v>1715520.56</v>
      </c>
    </row>
    <row r="105" spans="1:5" ht="56.25">
      <c r="A105" s="20" t="s">
        <v>569</v>
      </c>
      <c r="B105" s="12" t="s">
        <v>568</v>
      </c>
      <c r="C105" s="12">
        <v>800</v>
      </c>
      <c r="D105" s="5">
        <v>14909.44</v>
      </c>
    </row>
    <row r="106" spans="1:5" s="4" customFormat="1" ht="39" customHeight="1">
      <c r="A106" s="16" t="s">
        <v>22</v>
      </c>
      <c r="B106" s="17" t="s">
        <v>21</v>
      </c>
      <c r="C106" s="17"/>
      <c r="D106" s="13">
        <f t="shared" ref="D106" si="1">D107+D111</f>
        <v>920795</v>
      </c>
    </row>
    <row r="107" spans="1:5" s="3" customFormat="1" ht="41.25" customHeight="1">
      <c r="A107" s="18" t="s">
        <v>163</v>
      </c>
      <c r="B107" s="19" t="s">
        <v>23</v>
      </c>
      <c r="C107" s="19"/>
      <c r="D107" s="14">
        <f>SUM(D108:D110)</f>
        <v>864095</v>
      </c>
    </row>
    <row r="108" spans="1:5" ht="56.25">
      <c r="A108" s="20" t="s">
        <v>390</v>
      </c>
      <c r="B108" s="12" t="s">
        <v>25</v>
      </c>
      <c r="C108" s="12">
        <v>600</v>
      </c>
      <c r="D108" s="5">
        <v>22100</v>
      </c>
    </row>
    <row r="109" spans="1:5" s="4" customFormat="1" ht="75">
      <c r="A109" s="20" t="s">
        <v>388</v>
      </c>
      <c r="B109" s="12" t="s">
        <v>24</v>
      </c>
      <c r="C109" s="12">
        <v>200</v>
      </c>
      <c r="D109" s="5">
        <f>39690+17010-28350</f>
        <v>28350</v>
      </c>
      <c r="E109" s="1"/>
    </row>
    <row r="110" spans="1:5" s="3" customFormat="1" ht="75">
      <c r="A110" s="20" t="s">
        <v>389</v>
      </c>
      <c r="B110" s="12" t="s">
        <v>24</v>
      </c>
      <c r="C110" s="12">
        <v>600</v>
      </c>
      <c r="D110" s="5">
        <f>555660+229635+28350</f>
        <v>813645</v>
      </c>
    </row>
    <row r="111" spans="1:5" ht="50.25" customHeight="1">
      <c r="A111" s="18" t="s">
        <v>158</v>
      </c>
      <c r="B111" s="19" t="s">
        <v>26</v>
      </c>
      <c r="C111" s="19"/>
      <c r="D111" s="14">
        <f t="shared" ref="D111" si="2">D112</f>
        <v>56700</v>
      </c>
    </row>
    <row r="112" spans="1:5" ht="104.25" customHeight="1">
      <c r="A112" s="20" t="s">
        <v>159</v>
      </c>
      <c r="B112" s="12" t="s">
        <v>27</v>
      </c>
      <c r="C112" s="12">
        <v>200</v>
      </c>
      <c r="D112" s="5">
        <f>52080+4620</f>
        <v>56700</v>
      </c>
    </row>
    <row r="113" spans="1:4" ht="31.5" customHeight="1">
      <c r="A113" s="16" t="s">
        <v>179</v>
      </c>
      <c r="B113" s="17" t="s">
        <v>28</v>
      </c>
      <c r="C113" s="17"/>
      <c r="D113" s="13">
        <f t="shared" ref="D113" si="3">D114</f>
        <v>169690</v>
      </c>
    </row>
    <row r="114" spans="1:4" ht="45" customHeight="1">
      <c r="A114" s="18" t="s">
        <v>180</v>
      </c>
      <c r="B114" s="19" t="s">
        <v>29</v>
      </c>
      <c r="C114" s="19"/>
      <c r="D114" s="14">
        <f t="shared" ref="D114" si="4">SUM(D115:D119)</f>
        <v>169690</v>
      </c>
    </row>
    <row r="115" spans="1:4" s="3" customFormat="1" ht="106.5" customHeight="1">
      <c r="A115" s="20" t="s">
        <v>181</v>
      </c>
      <c r="B115" s="12" t="s">
        <v>30</v>
      </c>
      <c r="C115" s="12">
        <v>200</v>
      </c>
      <c r="D115" s="5">
        <v>19590</v>
      </c>
    </row>
    <row r="116" spans="1:4" ht="135.75" customHeight="1">
      <c r="A116" s="20" t="s">
        <v>345</v>
      </c>
      <c r="B116" s="12" t="s">
        <v>30</v>
      </c>
      <c r="C116" s="12">
        <v>600</v>
      </c>
      <c r="D116" s="5">
        <v>65000</v>
      </c>
    </row>
    <row r="117" spans="1:4" s="4" customFormat="1" ht="96.75" customHeight="1">
      <c r="A117" s="20" t="s">
        <v>182</v>
      </c>
      <c r="B117" s="12" t="s">
        <v>31</v>
      </c>
      <c r="C117" s="12">
        <v>200</v>
      </c>
      <c r="D117" s="5">
        <v>43000</v>
      </c>
    </row>
    <row r="118" spans="1:4" s="4" customFormat="1" ht="96.75" customHeight="1">
      <c r="A118" s="20" t="s">
        <v>309</v>
      </c>
      <c r="B118" s="12" t="s">
        <v>31</v>
      </c>
      <c r="C118" s="12">
        <v>600</v>
      </c>
      <c r="D118" s="5">
        <f>52000-19900</f>
        <v>32100</v>
      </c>
    </row>
    <row r="119" spans="1:4" s="4" customFormat="1" ht="93.75" customHeight="1">
      <c r="A119" s="20" t="s">
        <v>346</v>
      </c>
      <c r="B119" s="12" t="s">
        <v>341</v>
      </c>
      <c r="C119" s="12">
        <v>600</v>
      </c>
      <c r="D119" s="5">
        <v>10000</v>
      </c>
    </row>
    <row r="120" spans="1:4" s="3" customFormat="1" ht="49.5" customHeight="1">
      <c r="A120" s="22" t="s">
        <v>33</v>
      </c>
      <c r="B120" s="17" t="s">
        <v>32</v>
      </c>
      <c r="C120" s="17"/>
      <c r="D120" s="13">
        <f t="shared" ref="D120" si="5">D121</f>
        <v>50000</v>
      </c>
    </row>
    <row r="121" spans="1:4" ht="53.25" customHeight="1">
      <c r="A121" s="18" t="s">
        <v>35</v>
      </c>
      <c r="B121" s="19" t="s">
        <v>34</v>
      </c>
      <c r="C121" s="19"/>
      <c r="D121" s="14">
        <f t="shared" ref="D121" si="6">SUM(D122:D123)</f>
        <v>50000</v>
      </c>
    </row>
    <row r="122" spans="1:4" ht="114.75" customHeight="1">
      <c r="A122" s="20" t="s">
        <v>146</v>
      </c>
      <c r="B122" s="12" t="s">
        <v>36</v>
      </c>
      <c r="C122" s="12">
        <v>200</v>
      </c>
      <c r="D122" s="5">
        <v>30000</v>
      </c>
    </row>
    <row r="123" spans="1:4" ht="112.5" customHeight="1">
      <c r="A123" s="20" t="s">
        <v>143</v>
      </c>
      <c r="B123" s="12" t="s">
        <v>36</v>
      </c>
      <c r="C123" s="12">
        <v>600</v>
      </c>
      <c r="D123" s="5">
        <v>20000</v>
      </c>
    </row>
    <row r="124" spans="1:4" ht="84.75" customHeight="1">
      <c r="A124" s="16" t="s">
        <v>183</v>
      </c>
      <c r="B124" s="17" t="s">
        <v>37</v>
      </c>
      <c r="C124" s="17"/>
      <c r="D124" s="13">
        <f t="shared" ref="D124" si="7">D125</f>
        <v>13343354.510000002</v>
      </c>
    </row>
    <row r="125" spans="1:4" s="4" customFormat="1" ht="82.5" customHeight="1">
      <c r="A125" s="18" t="s">
        <v>314</v>
      </c>
      <c r="B125" s="19" t="s">
        <v>38</v>
      </c>
      <c r="C125" s="19"/>
      <c r="D125" s="14">
        <f t="shared" ref="D125" si="8">SUM(D126:D128)</f>
        <v>13343354.510000002</v>
      </c>
    </row>
    <row r="126" spans="1:4" s="3" customFormat="1" ht="93.75">
      <c r="A126" s="20" t="s">
        <v>130</v>
      </c>
      <c r="B126" s="12" t="s">
        <v>39</v>
      </c>
      <c r="C126" s="12">
        <v>100</v>
      </c>
      <c r="D126" s="5">
        <f>9222420.32+285873.24+1253015.64+135209.72</f>
        <v>10896518.920000002</v>
      </c>
    </row>
    <row r="127" spans="1:4" ht="71.25" customHeight="1">
      <c r="A127" s="20" t="s">
        <v>184</v>
      </c>
      <c r="B127" s="12" t="s">
        <v>39</v>
      </c>
      <c r="C127" s="12">
        <v>200</v>
      </c>
      <c r="D127" s="5">
        <f>1671264.74+3365.02+48632.43+8302.71+192770.69+200000+311345</f>
        <v>2435680.59</v>
      </c>
    </row>
    <row r="128" spans="1:4" ht="37.5">
      <c r="A128" s="20" t="s">
        <v>185</v>
      </c>
      <c r="B128" s="12" t="s">
        <v>39</v>
      </c>
      <c r="C128" s="12">
        <v>800</v>
      </c>
      <c r="D128" s="5">
        <f>22500-11345</f>
        <v>11155</v>
      </c>
    </row>
    <row r="129" spans="1:4" ht="56.25">
      <c r="A129" s="16" t="s">
        <v>402</v>
      </c>
      <c r="B129" s="17" t="s">
        <v>403</v>
      </c>
      <c r="C129" s="17"/>
      <c r="D129" s="13">
        <f t="shared" ref="D129:D130" si="9">D130</f>
        <v>15000</v>
      </c>
    </row>
    <row r="130" spans="1:4" ht="56.25">
      <c r="A130" s="18" t="s">
        <v>404</v>
      </c>
      <c r="B130" s="19" t="s">
        <v>405</v>
      </c>
      <c r="C130" s="19"/>
      <c r="D130" s="14">
        <f t="shared" si="9"/>
        <v>15000</v>
      </c>
    </row>
    <row r="131" spans="1:4" ht="84.75" customHeight="1">
      <c r="A131" s="20" t="s">
        <v>407</v>
      </c>
      <c r="B131" s="12" t="s">
        <v>406</v>
      </c>
      <c r="C131" s="12">
        <v>200</v>
      </c>
      <c r="D131" s="5">
        <v>15000</v>
      </c>
    </row>
    <row r="132" spans="1:4" ht="66.75" customHeight="1">
      <c r="A132" s="16" t="s">
        <v>740</v>
      </c>
      <c r="B132" s="17" t="s">
        <v>742</v>
      </c>
      <c r="C132" s="17"/>
      <c r="D132" s="13">
        <f>D133</f>
        <v>25000</v>
      </c>
    </row>
    <row r="133" spans="1:4" ht="72.75" customHeight="1">
      <c r="A133" s="18" t="s">
        <v>741</v>
      </c>
      <c r="B133" s="19" t="s">
        <v>743</v>
      </c>
      <c r="C133" s="19"/>
      <c r="D133" s="14">
        <f>SUM(D134:D135)</f>
        <v>25000</v>
      </c>
    </row>
    <row r="134" spans="1:4" ht="84.75" customHeight="1">
      <c r="A134" s="20" t="s">
        <v>746</v>
      </c>
      <c r="B134" s="12" t="s">
        <v>744</v>
      </c>
      <c r="C134" s="12">
        <v>600</v>
      </c>
      <c r="D134" s="5">
        <v>5000</v>
      </c>
    </row>
    <row r="135" spans="1:4" ht="84.75" customHeight="1">
      <c r="A135" s="20" t="s">
        <v>747</v>
      </c>
      <c r="B135" s="12" t="s">
        <v>745</v>
      </c>
      <c r="C135" s="12">
        <v>600</v>
      </c>
      <c r="D135" s="5">
        <v>20000</v>
      </c>
    </row>
    <row r="136" spans="1:4" s="4" customFormat="1" ht="81.75" customHeight="1">
      <c r="A136" s="16" t="s">
        <v>376</v>
      </c>
      <c r="B136" s="17" t="s">
        <v>40</v>
      </c>
      <c r="C136" s="17"/>
      <c r="D136" s="13">
        <f>D137+D150+D157+D167+D192+D199+D203+D160</f>
        <v>80420545.700000003</v>
      </c>
    </row>
    <row r="137" spans="1:4" s="3" customFormat="1" ht="53.25" customHeight="1">
      <c r="A137" s="16" t="s">
        <v>186</v>
      </c>
      <c r="B137" s="17" t="s">
        <v>41</v>
      </c>
      <c r="C137" s="17"/>
      <c r="D137" s="13">
        <f t="shared" ref="D137" si="10">D138</f>
        <v>53410354.189999998</v>
      </c>
    </row>
    <row r="138" spans="1:4" s="4" customFormat="1" ht="89.25" customHeight="1">
      <c r="A138" s="21" t="s">
        <v>214</v>
      </c>
      <c r="B138" s="19" t="s">
        <v>215</v>
      </c>
      <c r="C138" s="19"/>
      <c r="D138" s="14">
        <f>SUM(D139:D149)</f>
        <v>53410354.189999998</v>
      </c>
    </row>
    <row r="139" spans="1:4" s="4" customFormat="1" ht="111.75" customHeight="1">
      <c r="A139" s="20" t="s">
        <v>412</v>
      </c>
      <c r="B139" s="12" t="s">
        <v>414</v>
      </c>
      <c r="C139" s="12">
        <v>500</v>
      </c>
      <c r="D139" s="5">
        <f>1111172.11+111117.21</f>
        <v>1222289.32</v>
      </c>
    </row>
    <row r="140" spans="1:4" s="4" customFormat="1" ht="143.25" customHeight="1">
      <c r="A140" s="20" t="s">
        <v>478</v>
      </c>
      <c r="B140" s="12" t="s">
        <v>479</v>
      </c>
      <c r="C140" s="12">
        <v>500</v>
      </c>
      <c r="D140" s="5">
        <f>3370262.83+337026.28</f>
        <v>3707289.1100000003</v>
      </c>
    </row>
    <row r="141" spans="1:4" s="4" customFormat="1" ht="83.25" customHeight="1">
      <c r="A141" s="20" t="s">
        <v>500</v>
      </c>
      <c r="B141" s="12" t="s">
        <v>499</v>
      </c>
      <c r="C141" s="12">
        <v>200</v>
      </c>
      <c r="D141" s="5">
        <f>250000-50000+76273.63-46354-185996+3974.21+21939.19</f>
        <v>69837.03</v>
      </c>
    </row>
    <row r="142" spans="1:4" s="3" customFormat="1" ht="66.75" customHeight="1">
      <c r="A142" s="20" t="s">
        <v>423</v>
      </c>
      <c r="B142" s="12" t="s">
        <v>310</v>
      </c>
      <c r="C142" s="12">
        <v>200</v>
      </c>
      <c r="D142" s="5">
        <f>246813.34-50000+31975.72+300000+49248.31+17025.6+8619+5139.43+178446.52+32527.53</f>
        <v>819795.45000000019</v>
      </c>
    </row>
    <row r="143" spans="1:4" s="3" customFormat="1" ht="112.5" customHeight="1">
      <c r="A143" s="20" t="s">
        <v>502</v>
      </c>
      <c r="B143" s="12" t="s">
        <v>501</v>
      </c>
      <c r="C143" s="12">
        <v>200</v>
      </c>
      <c r="D143" s="5">
        <f>206778.8+480911.2+1286000-69248.31-131994-101750-199500-106144-9113.64-178446.52-54466.72</f>
        <v>1123026.81</v>
      </c>
    </row>
    <row r="144" spans="1:4" s="3" customFormat="1" ht="134.25" customHeight="1">
      <c r="A144" s="20" t="s">
        <v>698</v>
      </c>
      <c r="B144" s="12" t="s">
        <v>697</v>
      </c>
      <c r="C144" s="12">
        <v>200</v>
      </c>
      <c r="D144" s="5">
        <v>30922600</v>
      </c>
    </row>
    <row r="145" spans="1:4" s="3" customFormat="1" ht="89.25" customHeight="1">
      <c r="A145" s="20" t="s">
        <v>584</v>
      </c>
      <c r="B145" s="12" t="s">
        <v>583</v>
      </c>
      <c r="C145" s="12">
        <v>400</v>
      </c>
      <c r="D145" s="5">
        <f>1840000-542640</f>
        <v>1297360</v>
      </c>
    </row>
    <row r="146" spans="1:4" s="3" customFormat="1" ht="89.25" customHeight="1">
      <c r="A146" s="20" t="s">
        <v>603</v>
      </c>
      <c r="B146" s="12" t="s">
        <v>602</v>
      </c>
      <c r="C146" s="12">
        <v>200</v>
      </c>
      <c r="D146" s="5">
        <v>200000</v>
      </c>
    </row>
    <row r="147" spans="1:4" s="3" customFormat="1" ht="89.25" customHeight="1">
      <c r="A147" s="20" t="s">
        <v>676</v>
      </c>
      <c r="B147" s="12" t="s">
        <v>675</v>
      </c>
      <c r="C147" s="12">
        <v>400</v>
      </c>
      <c r="D147" s="5">
        <f>3489920-17025.6</f>
        <v>3472894.4</v>
      </c>
    </row>
    <row r="148" spans="1:4" s="3" customFormat="1" ht="93.75" customHeight="1">
      <c r="A148" s="20" t="s">
        <v>690</v>
      </c>
      <c r="B148" s="12" t="s">
        <v>689</v>
      </c>
      <c r="C148" s="12">
        <v>200</v>
      </c>
      <c r="D148" s="5">
        <v>46354</v>
      </c>
    </row>
    <row r="149" spans="1:4" s="3" customFormat="1" ht="117" customHeight="1">
      <c r="A149" s="20" t="s">
        <v>547</v>
      </c>
      <c r="B149" s="12" t="s">
        <v>546</v>
      </c>
      <c r="C149" s="12">
        <v>200</v>
      </c>
      <c r="D149" s="5">
        <f>11983406.04+121044.51-1559787.06-15755.42</f>
        <v>10528908.069999998</v>
      </c>
    </row>
    <row r="150" spans="1:4" ht="47.25" customHeight="1">
      <c r="A150" s="16" t="s">
        <v>187</v>
      </c>
      <c r="B150" s="17" t="s">
        <v>42</v>
      </c>
      <c r="C150" s="17"/>
      <c r="D150" s="13">
        <f t="shared" ref="D150" si="11">D151</f>
        <v>503244</v>
      </c>
    </row>
    <row r="151" spans="1:4" ht="50.25" customHeight="1">
      <c r="A151" s="18" t="s">
        <v>188</v>
      </c>
      <c r="B151" s="19" t="s">
        <v>43</v>
      </c>
      <c r="C151" s="19"/>
      <c r="D151" s="14">
        <f>SUM(D152:D156)</f>
        <v>503244</v>
      </c>
    </row>
    <row r="152" spans="1:4" ht="50.25" customHeight="1">
      <c r="A152" s="20" t="s">
        <v>751</v>
      </c>
      <c r="B152" s="12" t="s">
        <v>750</v>
      </c>
      <c r="C152" s="12">
        <v>200</v>
      </c>
      <c r="D152" s="5">
        <f>131994+101750+199500</f>
        <v>433244</v>
      </c>
    </row>
    <row r="153" spans="1:4" ht="106.5" customHeight="1">
      <c r="A153" s="20" t="s">
        <v>303</v>
      </c>
      <c r="B153" s="12" t="s">
        <v>44</v>
      </c>
      <c r="C153" s="12">
        <v>200</v>
      </c>
      <c r="D153" s="5">
        <v>20000</v>
      </c>
    </row>
    <row r="154" spans="1:4" ht="114.75" customHeight="1">
      <c r="A154" s="20" t="s">
        <v>304</v>
      </c>
      <c r="B154" s="12" t="s">
        <v>44</v>
      </c>
      <c r="C154" s="12">
        <v>600</v>
      </c>
      <c r="D154" s="5">
        <v>20000</v>
      </c>
    </row>
    <row r="155" spans="1:4" s="4" customFormat="1" ht="68.25" customHeight="1">
      <c r="A155" s="20" t="s">
        <v>216</v>
      </c>
      <c r="B155" s="12" t="s">
        <v>217</v>
      </c>
      <c r="C155" s="12">
        <v>200</v>
      </c>
      <c r="D155" s="5">
        <v>20000</v>
      </c>
    </row>
    <row r="156" spans="1:4" s="4" customFormat="1" ht="87.75" customHeight="1">
      <c r="A156" s="20" t="s">
        <v>503</v>
      </c>
      <c r="B156" s="12" t="s">
        <v>217</v>
      </c>
      <c r="C156" s="12">
        <v>600</v>
      </c>
      <c r="D156" s="5">
        <v>10000</v>
      </c>
    </row>
    <row r="157" spans="1:4" s="3" customFormat="1" ht="109.5" customHeight="1">
      <c r="A157" s="23" t="s">
        <v>437</v>
      </c>
      <c r="B157" s="17" t="s">
        <v>45</v>
      </c>
      <c r="C157" s="17"/>
      <c r="D157" s="13">
        <f t="shared" ref="D157" si="12">D158</f>
        <v>3982899.36</v>
      </c>
    </row>
    <row r="158" spans="1:4" ht="66.75" customHeight="1">
      <c r="A158" s="18" t="s">
        <v>47</v>
      </c>
      <c r="B158" s="19" t="s">
        <v>46</v>
      </c>
      <c r="C158" s="19"/>
      <c r="D158" s="14">
        <f t="shared" ref="D158" si="13">SUM(D159:D159)</f>
        <v>3982899.36</v>
      </c>
    </row>
    <row r="159" spans="1:4" ht="93.75">
      <c r="A159" s="11" t="s">
        <v>386</v>
      </c>
      <c r="B159" s="12" t="s">
        <v>387</v>
      </c>
      <c r="C159" s="12">
        <v>200</v>
      </c>
      <c r="D159" s="5">
        <f>2957078.3+500000+257611.36+268209.7</f>
        <v>3982899.36</v>
      </c>
    </row>
    <row r="160" spans="1:4" ht="37.5">
      <c r="A160" s="23" t="s">
        <v>457</v>
      </c>
      <c r="B160" s="17" t="s">
        <v>453</v>
      </c>
      <c r="C160" s="17"/>
      <c r="D160" s="13">
        <f>D161</f>
        <v>1944523.4</v>
      </c>
    </row>
    <row r="161" spans="1:4" ht="37.5">
      <c r="A161" s="21" t="s">
        <v>458</v>
      </c>
      <c r="B161" s="19" t="s">
        <v>454</v>
      </c>
      <c r="C161" s="19"/>
      <c r="D161" s="14">
        <f>SUM(D162:D166)</f>
        <v>1944523.4</v>
      </c>
    </row>
    <row r="162" spans="1:4" ht="37.5">
      <c r="A162" s="11" t="s">
        <v>459</v>
      </c>
      <c r="B162" s="12" t="s">
        <v>455</v>
      </c>
      <c r="C162" s="12">
        <v>200</v>
      </c>
      <c r="D162" s="5">
        <f>500000-250000+1444523.4-99000</f>
        <v>1595523.4</v>
      </c>
    </row>
    <row r="163" spans="1:4" ht="75">
      <c r="A163" s="11" t="s">
        <v>460</v>
      </c>
      <c r="B163" s="12" t="s">
        <v>456</v>
      </c>
      <c r="C163" s="12">
        <v>200</v>
      </c>
      <c r="D163" s="5">
        <f>500000-250000-99000</f>
        <v>151000</v>
      </c>
    </row>
    <row r="164" spans="1:4" ht="37.5" hidden="1">
      <c r="A164" s="16" t="s">
        <v>440</v>
      </c>
      <c r="B164" s="17" t="s">
        <v>441</v>
      </c>
      <c r="C164" s="17"/>
      <c r="D164" s="13">
        <v>0</v>
      </c>
    </row>
    <row r="165" spans="1:4" ht="93.75">
      <c r="A165" s="20" t="s">
        <v>736</v>
      </c>
      <c r="B165" s="12" t="s">
        <v>734</v>
      </c>
      <c r="C165" s="12">
        <v>200</v>
      </c>
      <c r="D165" s="5">
        <v>99000</v>
      </c>
    </row>
    <row r="166" spans="1:4" ht="127.5" customHeight="1">
      <c r="A166" s="20" t="s">
        <v>737</v>
      </c>
      <c r="B166" s="12" t="s">
        <v>735</v>
      </c>
      <c r="C166" s="12">
        <v>200</v>
      </c>
      <c r="D166" s="5">
        <v>99000</v>
      </c>
    </row>
    <row r="167" spans="1:4" s="4" customFormat="1" ht="56.25">
      <c r="A167" s="23" t="s">
        <v>218</v>
      </c>
      <c r="B167" s="17" t="s">
        <v>219</v>
      </c>
      <c r="C167" s="12"/>
      <c r="D167" s="13">
        <f>D168+D171+D181+D186+D188+D169</f>
        <v>7732522.9799999995</v>
      </c>
    </row>
    <row r="168" spans="1:4" s="3" customFormat="1" ht="37.5" hidden="1">
      <c r="A168" s="21" t="s">
        <v>220</v>
      </c>
      <c r="B168" s="19" t="s">
        <v>221</v>
      </c>
      <c r="C168" s="12"/>
      <c r="D168" s="14"/>
    </row>
    <row r="169" spans="1:4" s="3" customFormat="1" ht="37.5">
      <c r="A169" s="21" t="s">
        <v>220</v>
      </c>
      <c r="B169" s="19" t="s">
        <v>221</v>
      </c>
      <c r="C169" s="12"/>
      <c r="D169" s="14">
        <f>D170</f>
        <v>1899446.79</v>
      </c>
    </row>
    <row r="170" spans="1:4" s="3" customFormat="1" ht="75">
      <c r="A170" s="11" t="s">
        <v>494</v>
      </c>
      <c r="B170" s="12" t="s">
        <v>495</v>
      </c>
      <c r="C170" s="12">
        <v>200</v>
      </c>
      <c r="D170" s="5">
        <f>1209192.33+690254.46</f>
        <v>1899446.79</v>
      </c>
    </row>
    <row r="171" spans="1:4" ht="50.25" customHeight="1">
      <c r="A171" s="21" t="s">
        <v>222</v>
      </c>
      <c r="B171" s="19" t="s">
        <v>223</v>
      </c>
      <c r="C171" s="12"/>
      <c r="D171" s="14">
        <f>SUM(D172:D180)</f>
        <v>4308613.43</v>
      </c>
    </row>
    <row r="172" spans="1:4" ht="93" customHeight="1">
      <c r="A172" s="11" t="s">
        <v>505</v>
      </c>
      <c r="B172" s="12" t="s">
        <v>504</v>
      </c>
      <c r="C172" s="12">
        <v>500</v>
      </c>
      <c r="D172" s="5">
        <v>706694.36</v>
      </c>
    </row>
    <row r="173" spans="1:4" ht="84.75" customHeight="1">
      <c r="A173" s="11" t="s">
        <v>413</v>
      </c>
      <c r="B173" s="12" t="s">
        <v>415</v>
      </c>
      <c r="C173" s="12">
        <v>500</v>
      </c>
      <c r="D173" s="5">
        <v>500000</v>
      </c>
    </row>
    <row r="174" spans="1:4" ht="84.75" customHeight="1">
      <c r="A174" s="11" t="s">
        <v>352</v>
      </c>
      <c r="B174" s="12" t="s">
        <v>391</v>
      </c>
      <c r="C174" s="12">
        <v>200</v>
      </c>
      <c r="D174" s="5">
        <f>1600000+100029.84-14398.01-24216-24957.27-20196-8619-222208.01</f>
        <v>1385435.55</v>
      </c>
    </row>
    <row r="175" spans="1:4" ht="72.75" customHeight="1">
      <c r="A175" s="11" t="s">
        <v>397</v>
      </c>
      <c r="B175" s="12" t="s">
        <v>392</v>
      </c>
      <c r="C175" s="12">
        <v>200</v>
      </c>
      <c r="D175" s="5">
        <f>600000+343811.67+106144+222208.01</f>
        <v>1272163.68</v>
      </c>
    </row>
    <row r="176" spans="1:4" ht="125.25" customHeight="1">
      <c r="A176" s="11" t="s">
        <v>572</v>
      </c>
      <c r="B176" s="12" t="s">
        <v>570</v>
      </c>
      <c r="C176" s="12">
        <v>200</v>
      </c>
      <c r="D176" s="5">
        <v>671.04</v>
      </c>
    </row>
    <row r="177" spans="1:4" ht="79.5" customHeight="1">
      <c r="A177" s="11" t="s">
        <v>573</v>
      </c>
      <c r="B177" s="12" t="s">
        <v>571</v>
      </c>
      <c r="C177" s="12">
        <v>200</v>
      </c>
      <c r="D177" s="5">
        <v>2236.8000000000002</v>
      </c>
    </row>
    <row r="178" spans="1:4" ht="84.75" customHeight="1">
      <c r="A178" s="11" t="s">
        <v>712</v>
      </c>
      <c r="B178" s="12" t="s">
        <v>711</v>
      </c>
      <c r="C178" s="12">
        <v>200</v>
      </c>
      <c r="D178" s="5">
        <v>87000</v>
      </c>
    </row>
    <row r="179" spans="1:4" ht="101.25" customHeight="1">
      <c r="A179" s="11" t="s">
        <v>725</v>
      </c>
      <c r="B179" s="12" t="s">
        <v>724</v>
      </c>
      <c r="C179" s="12">
        <v>200</v>
      </c>
      <c r="D179" s="5">
        <v>20000</v>
      </c>
    </row>
    <row r="180" spans="1:4" ht="101.25" customHeight="1">
      <c r="A180" s="11" t="s">
        <v>733</v>
      </c>
      <c r="B180" s="12" t="s">
        <v>732</v>
      </c>
      <c r="C180" s="12">
        <v>200</v>
      </c>
      <c r="D180" s="5">
        <f>290000+24216+20196</f>
        <v>334412</v>
      </c>
    </row>
    <row r="181" spans="1:4" ht="46.5" customHeight="1">
      <c r="A181" s="21" t="s">
        <v>224</v>
      </c>
      <c r="B181" s="19" t="s">
        <v>225</v>
      </c>
      <c r="C181" s="12"/>
      <c r="D181" s="14">
        <f>SUM(D182:D185)</f>
        <v>376101.44999999995</v>
      </c>
    </row>
    <row r="182" spans="1:4" ht="90.75" customHeight="1">
      <c r="A182" s="11" t="s">
        <v>507</v>
      </c>
      <c r="B182" s="12" t="s">
        <v>506</v>
      </c>
      <c r="C182" s="12">
        <v>500</v>
      </c>
      <c r="D182" s="5">
        <v>250000</v>
      </c>
    </row>
    <row r="183" spans="1:4" ht="50.25" customHeight="1">
      <c r="A183" s="11" t="s">
        <v>226</v>
      </c>
      <c r="B183" s="12" t="s">
        <v>227</v>
      </c>
      <c r="C183" s="12">
        <v>200</v>
      </c>
      <c r="D183" s="5">
        <v>120000</v>
      </c>
    </row>
    <row r="184" spans="1:4" ht="108" customHeight="1">
      <c r="A184" s="11" t="s">
        <v>576</v>
      </c>
      <c r="B184" s="12" t="s">
        <v>574</v>
      </c>
      <c r="C184" s="12">
        <v>200</v>
      </c>
      <c r="D184" s="5">
        <v>524.1</v>
      </c>
    </row>
    <row r="185" spans="1:4" ht="93.75" customHeight="1">
      <c r="A185" s="11" t="s">
        <v>577</v>
      </c>
      <c r="B185" s="12" t="s">
        <v>575</v>
      </c>
      <c r="C185" s="12">
        <v>200</v>
      </c>
      <c r="D185" s="5">
        <v>5577.35</v>
      </c>
    </row>
    <row r="186" spans="1:4" s="4" customFormat="1" ht="64.5" customHeight="1">
      <c r="A186" s="21" t="s">
        <v>292</v>
      </c>
      <c r="B186" s="19" t="s">
        <v>228</v>
      </c>
      <c r="C186" s="12"/>
      <c r="D186" s="14">
        <f t="shared" ref="D186" si="14">D187</f>
        <v>77790.8</v>
      </c>
    </row>
    <row r="187" spans="1:4" s="3" customFormat="1" ht="69" customHeight="1">
      <c r="A187" s="11" t="s">
        <v>293</v>
      </c>
      <c r="B187" s="12" t="s">
        <v>229</v>
      </c>
      <c r="C187" s="12">
        <v>200</v>
      </c>
      <c r="D187" s="5">
        <f>80000-2209.2</f>
        <v>77790.8</v>
      </c>
    </row>
    <row r="188" spans="1:4" s="3" customFormat="1" ht="54.75" customHeight="1">
      <c r="A188" s="21" t="s">
        <v>318</v>
      </c>
      <c r="B188" s="19" t="s">
        <v>316</v>
      </c>
      <c r="C188" s="19"/>
      <c r="D188" s="14">
        <f>SUM(D189:D191)</f>
        <v>1070570.51</v>
      </c>
    </row>
    <row r="189" spans="1:4" s="3" customFormat="1" ht="71.25" customHeight="1">
      <c r="A189" s="11" t="s">
        <v>319</v>
      </c>
      <c r="B189" s="12" t="s">
        <v>317</v>
      </c>
      <c r="C189" s="12">
        <v>200</v>
      </c>
      <c r="D189" s="5">
        <f>402341.38-55544</f>
        <v>346797.38</v>
      </c>
    </row>
    <row r="190" spans="1:4" s="3" customFormat="1" ht="71.25" customHeight="1">
      <c r="A190" s="11" t="s">
        <v>770</v>
      </c>
      <c r="B190" s="12" t="s">
        <v>769</v>
      </c>
      <c r="C190" s="12">
        <v>200</v>
      </c>
      <c r="D190" s="5">
        <v>55544</v>
      </c>
    </row>
    <row r="191" spans="1:4" s="3" customFormat="1" ht="191.25" customHeight="1">
      <c r="A191" s="11" t="s">
        <v>462</v>
      </c>
      <c r="B191" s="12" t="s">
        <v>461</v>
      </c>
      <c r="C191" s="12">
        <v>800</v>
      </c>
      <c r="D191" s="5">
        <f>456067.61+209411.21+2750.31</f>
        <v>668229.13</v>
      </c>
    </row>
    <row r="192" spans="1:4" s="3" customFormat="1" ht="84" customHeight="1">
      <c r="A192" s="23" t="s">
        <v>230</v>
      </c>
      <c r="B192" s="17" t="s">
        <v>231</v>
      </c>
      <c r="C192" s="12"/>
      <c r="D192" s="13">
        <f>D193+D197</f>
        <v>1200790.56</v>
      </c>
    </row>
    <row r="193" spans="1:4" ht="110.25" customHeight="1">
      <c r="A193" s="21" t="s">
        <v>232</v>
      </c>
      <c r="B193" s="19" t="s">
        <v>233</v>
      </c>
      <c r="C193" s="12"/>
      <c r="D193" s="14">
        <f t="shared" ref="D193" si="15">SUM(D194:D196)</f>
        <v>381851.3</v>
      </c>
    </row>
    <row r="194" spans="1:4" s="4" customFormat="1" ht="92.25" customHeight="1">
      <c r="A194" s="11" t="s">
        <v>234</v>
      </c>
      <c r="B194" s="12" t="s">
        <v>235</v>
      </c>
      <c r="C194" s="12">
        <v>200</v>
      </c>
      <c r="D194" s="5">
        <v>30000</v>
      </c>
    </row>
    <row r="195" spans="1:4" s="4" customFormat="1" ht="129" customHeight="1">
      <c r="A195" s="11" t="s">
        <v>236</v>
      </c>
      <c r="B195" s="12" t="s">
        <v>237</v>
      </c>
      <c r="C195" s="12">
        <v>200</v>
      </c>
      <c r="D195" s="5">
        <v>4000</v>
      </c>
    </row>
    <row r="196" spans="1:4" s="4" customFormat="1" ht="90" customHeight="1">
      <c r="A196" s="11" t="s">
        <v>353</v>
      </c>
      <c r="B196" s="12" t="s">
        <v>354</v>
      </c>
      <c r="C196" s="12">
        <v>200</v>
      </c>
      <c r="D196" s="5">
        <f>350000+500000-500000-2148.7</f>
        <v>347851.3</v>
      </c>
    </row>
    <row r="197" spans="1:4" ht="32.25" customHeight="1">
      <c r="A197" s="24" t="s">
        <v>238</v>
      </c>
      <c r="B197" s="19" t="s">
        <v>239</v>
      </c>
      <c r="C197" s="12"/>
      <c r="D197" s="14">
        <f t="shared" ref="D197" si="16">D198</f>
        <v>818939.26</v>
      </c>
    </row>
    <row r="198" spans="1:4" ht="48" customHeight="1">
      <c r="A198" s="11" t="s">
        <v>240</v>
      </c>
      <c r="B198" s="12" t="s">
        <v>241</v>
      </c>
      <c r="C198" s="12">
        <v>800</v>
      </c>
      <c r="D198" s="5">
        <f>500000+500000-50000-131060.74</f>
        <v>818939.26</v>
      </c>
    </row>
    <row r="199" spans="1:4" ht="57" customHeight="1">
      <c r="A199" s="25" t="s">
        <v>242</v>
      </c>
      <c r="B199" s="17" t="s">
        <v>243</v>
      </c>
      <c r="C199" s="12"/>
      <c r="D199" s="13">
        <f t="shared" ref="D199" si="17">D200</f>
        <v>1677535.77</v>
      </c>
    </row>
    <row r="200" spans="1:4" ht="51.75" customHeight="1">
      <c r="A200" s="21" t="s">
        <v>244</v>
      </c>
      <c r="B200" s="19" t="s">
        <v>245</v>
      </c>
      <c r="C200" s="12"/>
      <c r="D200" s="14">
        <f>SUM(D201:D202)</f>
        <v>1677535.77</v>
      </c>
    </row>
    <row r="201" spans="1:4" ht="116.25" customHeight="1">
      <c r="A201" s="11" t="s">
        <v>464</v>
      </c>
      <c r="B201" s="12" t="s">
        <v>463</v>
      </c>
      <c r="C201" s="12">
        <v>500</v>
      </c>
      <c r="D201" s="5">
        <v>618553.61</v>
      </c>
    </row>
    <row r="202" spans="1:4" s="3" customFormat="1" ht="107.25" customHeight="1">
      <c r="A202" s="11" t="s">
        <v>311</v>
      </c>
      <c r="B202" s="12" t="s">
        <v>246</v>
      </c>
      <c r="C202" s="12">
        <v>200</v>
      </c>
      <c r="D202" s="5">
        <f>500000+14252+326402.26+218869.01-541.11</f>
        <v>1058982.1599999999</v>
      </c>
    </row>
    <row r="203" spans="1:4" s="3" customFormat="1" ht="88.5" customHeight="1">
      <c r="A203" s="23" t="s">
        <v>347</v>
      </c>
      <c r="B203" s="17" t="s">
        <v>342</v>
      </c>
      <c r="C203" s="17"/>
      <c r="D203" s="13">
        <f t="shared" ref="D203" si="18">D204</f>
        <v>9968675.4399999995</v>
      </c>
    </row>
    <row r="204" spans="1:4" s="3" customFormat="1" ht="84.75" customHeight="1">
      <c r="A204" s="21" t="s">
        <v>348</v>
      </c>
      <c r="B204" s="19" t="s">
        <v>343</v>
      </c>
      <c r="C204" s="19"/>
      <c r="D204" s="14">
        <f>SUM(D205:D210)</f>
        <v>9968675.4399999995</v>
      </c>
    </row>
    <row r="205" spans="1:4" s="3" customFormat="1" ht="108" customHeight="1">
      <c r="A205" s="11" t="s">
        <v>660</v>
      </c>
      <c r="B205" s="12" t="s">
        <v>659</v>
      </c>
      <c r="C205" s="12">
        <v>800</v>
      </c>
      <c r="D205" s="5">
        <v>15000</v>
      </c>
    </row>
    <row r="206" spans="1:4" s="3" customFormat="1" ht="77.25" customHeight="1">
      <c r="A206" s="11" t="s">
        <v>699</v>
      </c>
      <c r="B206" s="12" t="s">
        <v>700</v>
      </c>
      <c r="C206" s="12">
        <v>800</v>
      </c>
      <c r="D206" s="5">
        <v>17064.990000000002</v>
      </c>
    </row>
    <row r="207" spans="1:4" s="3" customFormat="1" ht="77.25" customHeight="1">
      <c r="A207" s="11" t="s">
        <v>727</v>
      </c>
      <c r="B207" s="12" t="s">
        <v>726</v>
      </c>
      <c r="C207" s="12">
        <v>800</v>
      </c>
      <c r="D207" s="5">
        <v>5000</v>
      </c>
    </row>
    <row r="208" spans="1:4" s="3" customFormat="1" ht="77.25" customHeight="1">
      <c r="A208" s="11" t="s">
        <v>753</v>
      </c>
      <c r="B208" s="12" t="s">
        <v>752</v>
      </c>
      <c r="C208" s="12">
        <v>800</v>
      </c>
      <c r="D208" s="5">
        <v>300</v>
      </c>
    </row>
    <row r="209" spans="1:5" s="3" customFormat="1" ht="116.25" customHeight="1">
      <c r="A209" s="11" t="s">
        <v>605</v>
      </c>
      <c r="B209" s="12" t="s">
        <v>604</v>
      </c>
      <c r="C209" s="12">
        <v>800</v>
      </c>
      <c r="D209" s="5">
        <v>26961.94</v>
      </c>
    </row>
    <row r="210" spans="1:5" s="3" customFormat="1" ht="109.5" customHeight="1">
      <c r="A210" s="11" t="s">
        <v>349</v>
      </c>
      <c r="B210" s="12" t="s">
        <v>344</v>
      </c>
      <c r="C210" s="12">
        <v>400</v>
      </c>
      <c r="D210" s="5">
        <f>3973035+3775444.96+369307.48+1786561.07</f>
        <v>9904348.5099999998</v>
      </c>
    </row>
    <row r="211" spans="1:5" ht="69" customHeight="1">
      <c r="A211" s="16" t="s">
        <v>189</v>
      </c>
      <c r="B211" s="17" t="s">
        <v>48</v>
      </c>
      <c r="C211" s="17"/>
      <c r="D211" s="13">
        <f>D212+D228+D234+D238+D241+D244+D260+D256</f>
        <v>45762105.159999996</v>
      </c>
    </row>
    <row r="212" spans="1:5" ht="46.5" customHeight="1">
      <c r="A212" s="16" t="s">
        <v>190</v>
      </c>
      <c r="B212" s="17" t="s">
        <v>49</v>
      </c>
      <c r="C212" s="17"/>
      <c r="D212" s="13">
        <f>D213+D225</f>
        <v>24809042.629999999</v>
      </c>
    </row>
    <row r="213" spans="1:5" s="4" customFormat="1" ht="47.25" customHeight="1">
      <c r="A213" s="18" t="s">
        <v>51</v>
      </c>
      <c r="B213" s="19" t="s">
        <v>50</v>
      </c>
      <c r="C213" s="19"/>
      <c r="D213" s="14">
        <f>SUM(D214:D224)</f>
        <v>18476437</v>
      </c>
    </row>
    <row r="214" spans="1:5" s="3" customFormat="1" ht="124.5" customHeight="1">
      <c r="A214" s="20" t="s">
        <v>131</v>
      </c>
      <c r="B214" s="12" t="s">
        <v>52</v>
      </c>
      <c r="C214" s="12">
        <v>100</v>
      </c>
      <c r="D214" s="5">
        <f>11745074.77+5032.37+297157.71+28702.81+1707437.99</f>
        <v>13783405.65</v>
      </c>
    </row>
    <row r="215" spans="1:5" ht="87" customHeight="1">
      <c r="A215" s="20" t="s">
        <v>147</v>
      </c>
      <c r="B215" s="12" t="s">
        <v>52</v>
      </c>
      <c r="C215" s="12">
        <v>200</v>
      </c>
      <c r="D215" s="5">
        <f>2372724.25+3594.23+76298.65+10987.66+20700+39836.34+42000+24000+34643+22668+74000+6000+22000</f>
        <v>2749452.13</v>
      </c>
    </row>
    <row r="216" spans="1:5" s="3" customFormat="1" ht="54" customHeight="1">
      <c r="A216" s="20" t="s">
        <v>144</v>
      </c>
      <c r="B216" s="12" t="s">
        <v>52</v>
      </c>
      <c r="C216" s="12">
        <v>800</v>
      </c>
      <c r="D216" s="5">
        <f>13600+11000</f>
        <v>24600</v>
      </c>
    </row>
    <row r="217" spans="1:5" ht="120.75" customHeight="1">
      <c r="A217" s="20" t="s">
        <v>132</v>
      </c>
      <c r="B217" s="12" t="s">
        <v>53</v>
      </c>
      <c r="C217" s="12">
        <v>100</v>
      </c>
      <c r="D217" s="5">
        <f>436737.12+19530.03+126164.32</f>
        <v>582431.47</v>
      </c>
    </row>
    <row r="218" spans="1:5" ht="74.25" customHeight="1">
      <c r="A218" s="20" t="s">
        <v>148</v>
      </c>
      <c r="B218" s="12" t="s">
        <v>53</v>
      </c>
      <c r="C218" s="12">
        <v>200</v>
      </c>
      <c r="D218" s="5">
        <f>356668-22668</f>
        <v>334000</v>
      </c>
    </row>
    <row r="219" spans="1:5" ht="69.75" customHeight="1">
      <c r="A219" s="20" t="s">
        <v>509</v>
      </c>
      <c r="B219" s="12" t="s">
        <v>508</v>
      </c>
      <c r="C219" s="12">
        <v>200</v>
      </c>
      <c r="D219" s="5">
        <f>200000-27443</f>
        <v>172557</v>
      </c>
    </row>
    <row r="220" spans="1:5" ht="73.5" customHeight="1">
      <c r="A220" s="20" t="s">
        <v>619</v>
      </c>
      <c r="B220" s="12" t="s">
        <v>618</v>
      </c>
      <c r="C220" s="12">
        <v>200</v>
      </c>
      <c r="D220" s="5">
        <f>300000+57700</f>
        <v>357700</v>
      </c>
      <c r="E220" s="33"/>
    </row>
    <row r="221" spans="1:5" ht="69.75" customHeight="1">
      <c r="A221" s="20" t="s">
        <v>621</v>
      </c>
      <c r="B221" s="12" t="s">
        <v>620</v>
      </c>
      <c r="C221" s="12">
        <v>200</v>
      </c>
      <c r="D221" s="5">
        <f>300000+27300</f>
        <v>327300</v>
      </c>
    </row>
    <row r="222" spans="1:5" ht="69.75" customHeight="1">
      <c r="A222" s="20" t="s">
        <v>622</v>
      </c>
      <c r="B222" s="12" t="s">
        <v>623</v>
      </c>
      <c r="C222" s="12">
        <v>200</v>
      </c>
      <c r="D222" s="5">
        <v>41236</v>
      </c>
    </row>
    <row r="223" spans="1:5" ht="69.75" customHeight="1">
      <c r="A223" s="20" t="s">
        <v>624</v>
      </c>
      <c r="B223" s="12" t="s">
        <v>625</v>
      </c>
      <c r="C223" s="12">
        <v>200</v>
      </c>
      <c r="D223" s="5">
        <v>93754.75</v>
      </c>
    </row>
    <row r="224" spans="1:5" ht="69.75" customHeight="1">
      <c r="A224" s="20" t="s">
        <v>792</v>
      </c>
      <c r="B224" s="12" t="s">
        <v>793</v>
      </c>
      <c r="C224" s="12">
        <v>200</v>
      </c>
      <c r="D224" s="5">
        <v>10000</v>
      </c>
    </row>
    <row r="225" spans="1:4" ht="74.25" customHeight="1">
      <c r="A225" s="18" t="s">
        <v>442</v>
      </c>
      <c r="B225" s="19" t="s">
        <v>443</v>
      </c>
      <c r="C225" s="12"/>
      <c r="D225" s="14">
        <f>SUM(D226:D227)</f>
        <v>6332605.6299999999</v>
      </c>
    </row>
    <row r="226" spans="1:4" ht="156" customHeight="1">
      <c r="A226" s="20" t="s">
        <v>548</v>
      </c>
      <c r="B226" s="12" t="s">
        <v>549</v>
      </c>
      <c r="C226" s="12">
        <v>100</v>
      </c>
      <c r="D226" s="5">
        <f>6278565-431968+422682.57</f>
        <v>6269279.5700000003</v>
      </c>
    </row>
    <row r="227" spans="1:4" ht="162.75" customHeight="1">
      <c r="A227" s="20" t="s">
        <v>491</v>
      </c>
      <c r="B227" s="12" t="s">
        <v>444</v>
      </c>
      <c r="C227" s="12">
        <v>100</v>
      </c>
      <c r="D227" s="5">
        <f>63419.85-4363.31+4269.52</f>
        <v>63326.06</v>
      </c>
    </row>
    <row r="228" spans="1:4" ht="50.25" customHeight="1">
      <c r="A228" s="16" t="s">
        <v>55</v>
      </c>
      <c r="B228" s="17" t="s">
        <v>54</v>
      </c>
      <c r="C228" s="17"/>
      <c r="D228" s="13">
        <f>D229+D231</f>
        <v>7044597.0199999996</v>
      </c>
    </row>
    <row r="229" spans="1:4" s="4" customFormat="1" ht="51.75" customHeight="1">
      <c r="A229" s="18" t="s">
        <v>57</v>
      </c>
      <c r="B229" s="19" t="s">
        <v>56</v>
      </c>
      <c r="C229" s="19"/>
      <c r="D229" s="14">
        <f t="shared" ref="D229" si="19">D230</f>
        <v>5233681.68</v>
      </c>
    </row>
    <row r="230" spans="1:4" s="3" customFormat="1" ht="84" customHeight="1">
      <c r="A230" s="20" t="s">
        <v>142</v>
      </c>
      <c r="B230" s="12" t="s">
        <v>58</v>
      </c>
      <c r="C230" s="12">
        <v>600</v>
      </c>
      <c r="D230" s="5">
        <f>4748039.79+33101.11+59789.3+3057.08+3716.78+50468.35+29109.27+44420+222530+19550+19900</f>
        <v>5233681.68</v>
      </c>
    </row>
    <row r="231" spans="1:4" s="3" customFormat="1" ht="54.75" customHeight="1">
      <c r="A231" s="18" t="s">
        <v>445</v>
      </c>
      <c r="B231" s="19" t="s">
        <v>446</v>
      </c>
      <c r="C231" s="19"/>
      <c r="D231" s="14">
        <f>SUM(D232:D233)</f>
        <v>1810915.3399999999</v>
      </c>
    </row>
    <row r="232" spans="1:4" s="3" customFormat="1" ht="129.75" customHeight="1">
      <c r="A232" s="20" t="s">
        <v>550</v>
      </c>
      <c r="B232" s="12" t="s">
        <v>551</v>
      </c>
      <c r="C232" s="12">
        <v>600</v>
      </c>
      <c r="D232" s="5">
        <f>1368912-98313+522207.19</f>
        <v>1792806.19</v>
      </c>
    </row>
    <row r="233" spans="1:4" s="3" customFormat="1" ht="136.5" customHeight="1">
      <c r="A233" s="20" t="s">
        <v>447</v>
      </c>
      <c r="B233" s="12" t="s">
        <v>448</v>
      </c>
      <c r="C233" s="12">
        <v>600</v>
      </c>
      <c r="D233" s="5">
        <f>13827.39-993.06+5274.82</f>
        <v>18109.150000000001</v>
      </c>
    </row>
    <row r="234" spans="1:4" ht="48" customHeight="1">
      <c r="A234" s="16" t="s">
        <v>337</v>
      </c>
      <c r="B234" s="17" t="s">
        <v>59</v>
      </c>
      <c r="C234" s="17"/>
      <c r="D234" s="13">
        <f t="shared" ref="D234" si="20">D235</f>
        <v>300841.40999999997</v>
      </c>
    </row>
    <row r="235" spans="1:4" s="4" customFormat="1" ht="39" customHeight="1">
      <c r="A235" s="18" t="s">
        <v>61</v>
      </c>
      <c r="B235" s="19" t="s">
        <v>60</v>
      </c>
      <c r="C235" s="19"/>
      <c r="D235" s="14">
        <f>SUM(D236:D237)</f>
        <v>300841.40999999997</v>
      </c>
    </row>
    <row r="236" spans="1:4" s="3" customFormat="1" ht="124.5" customHeight="1">
      <c r="A236" s="20" t="s">
        <v>350</v>
      </c>
      <c r="B236" s="12" t="s">
        <v>62</v>
      </c>
      <c r="C236" s="12">
        <v>200</v>
      </c>
      <c r="D236" s="5">
        <v>220000</v>
      </c>
    </row>
    <row r="237" spans="1:4" s="3" customFormat="1" ht="75">
      <c r="A237" s="20" t="s">
        <v>493</v>
      </c>
      <c r="B237" s="12" t="s">
        <v>492</v>
      </c>
      <c r="C237" s="12">
        <v>200</v>
      </c>
      <c r="D237" s="5">
        <f>92786+937.23-12753-128.82</f>
        <v>80841.409999999989</v>
      </c>
    </row>
    <row r="238" spans="1:4" ht="47.25" customHeight="1">
      <c r="A238" s="16" t="s">
        <v>164</v>
      </c>
      <c r="B238" s="17" t="s">
        <v>63</v>
      </c>
      <c r="C238" s="17"/>
      <c r="D238" s="13">
        <f t="shared" ref="D238" si="21">D239</f>
        <v>50000</v>
      </c>
    </row>
    <row r="239" spans="1:4" ht="45" customHeight="1">
      <c r="A239" s="18" t="s">
        <v>191</v>
      </c>
      <c r="B239" s="19" t="s">
        <v>64</v>
      </c>
      <c r="C239" s="19"/>
      <c r="D239" s="14">
        <f t="shared" ref="D239" si="22">SUM(D240:D240)</f>
        <v>50000</v>
      </c>
    </row>
    <row r="240" spans="1:4" ht="70.5" customHeight="1">
      <c r="A240" s="20" t="s">
        <v>165</v>
      </c>
      <c r="B240" s="12" t="s">
        <v>65</v>
      </c>
      <c r="C240" s="12">
        <v>200</v>
      </c>
      <c r="D240" s="5">
        <v>50000</v>
      </c>
    </row>
    <row r="241" spans="1:5" s="3" customFormat="1" ht="74.25" customHeight="1">
      <c r="A241" s="16" t="s">
        <v>313</v>
      </c>
      <c r="B241" s="17" t="s">
        <v>66</v>
      </c>
      <c r="C241" s="17"/>
      <c r="D241" s="13">
        <f>D242+D254</f>
        <v>12178752.870000001</v>
      </c>
    </row>
    <row r="242" spans="1:5" ht="65.25" customHeight="1">
      <c r="A242" s="18" t="s">
        <v>68</v>
      </c>
      <c r="B242" s="19" t="s">
        <v>67</v>
      </c>
      <c r="C242" s="19"/>
      <c r="D242" s="14">
        <f>SUM(D243:D253)</f>
        <v>2178752.87</v>
      </c>
    </row>
    <row r="243" spans="1:5" s="4" customFormat="1" ht="51.75" customHeight="1">
      <c r="A243" s="20" t="s">
        <v>149</v>
      </c>
      <c r="B243" s="12" t="s">
        <v>69</v>
      </c>
      <c r="C243" s="12">
        <v>200</v>
      </c>
      <c r="D243" s="5">
        <v>50000</v>
      </c>
    </row>
    <row r="244" spans="1:5" s="3" customFormat="1" ht="68.25" hidden="1" customHeight="1">
      <c r="A244" s="16" t="s">
        <v>377</v>
      </c>
      <c r="B244" s="17" t="s">
        <v>70</v>
      </c>
      <c r="C244" s="17"/>
      <c r="D244" s="13">
        <v>0</v>
      </c>
    </row>
    <row r="245" spans="1:5" s="3" customFormat="1" ht="85.5" customHeight="1">
      <c r="A245" s="20" t="s">
        <v>612</v>
      </c>
      <c r="B245" s="12" t="s">
        <v>606</v>
      </c>
      <c r="C245" s="12">
        <v>200</v>
      </c>
      <c r="D245" s="5">
        <v>130000</v>
      </c>
      <c r="E245" s="36"/>
    </row>
    <row r="246" spans="1:5" s="3" customFormat="1" ht="56.25" customHeight="1">
      <c r="A246" s="20" t="s">
        <v>613</v>
      </c>
      <c r="B246" s="12" t="s">
        <v>607</v>
      </c>
      <c r="C246" s="12">
        <v>200</v>
      </c>
      <c r="D246" s="5">
        <f>60000-17405-22000</f>
        <v>20595</v>
      </c>
    </row>
    <row r="247" spans="1:5" s="3" customFormat="1" ht="68.25" customHeight="1">
      <c r="A247" s="20" t="s">
        <v>614</v>
      </c>
      <c r="B247" s="12" t="s">
        <v>608</v>
      </c>
      <c r="C247" s="12">
        <v>200</v>
      </c>
      <c r="D247" s="5">
        <v>185000</v>
      </c>
    </row>
    <row r="248" spans="1:5" s="3" customFormat="1" ht="68.25" customHeight="1">
      <c r="A248" s="20" t="s">
        <v>615</v>
      </c>
      <c r="B248" s="12" t="s">
        <v>609</v>
      </c>
      <c r="C248" s="12">
        <v>200</v>
      </c>
      <c r="D248" s="5">
        <v>249000</v>
      </c>
    </row>
    <row r="249" spans="1:5" s="3" customFormat="1" ht="87" customHeight="1">
      <c r="A249" s="20" t="s">
        <v>616</v>
      </c>
      <c r="B249" s="12" t="s">
        <v>610</v>
      </c>
      <c r="C249" s="12">
        <v>200</v>
      </c>
      <c r="D249" s="5">
        <f>50505+17405</f>
        <v>67910</v>
      </c>
    </row>
    <row r="250" spans="1:5" s="3" customFormat="1" ht="68.25" customHeight="1">
      <c r="A250" s="20" t="s">
        <v>617</v>
      </c>
      <c r="B250" s="12" t="s">
        <v>611</v>
      </c>
      <c r="C250" s="12">
        <v>200</v>
      </c>
      <c r="D250" s="5">
        <v>72000</v>
      </c>
    </row>
    <row r="251" spans="1:5" s="3" customFormat="1" ht="68.25" customHeight="1">
      <c r="A251" s="20" t="s">
        <v>629</v>
      </c>
      <c r="B251" s="12" t="s">
        <v>628</v>
      </c>
      <c r="C251" s="12">
        <v>200</v>
      </c>
      <c r="D251" s="5">
        <f>1571020-250880-24000-54200-74000-4269.52-12302.61-6000-22000</f>
        <v>1123367.8699999999</v>
      </c>
    </row>
    <row r="252" spans="1:5" s="3" customFormat="1" ht="68.25" customHeight="1">
      <c r="A252" s="20" t="s">
        <v>703</v>
      </c>
      <c r="B252" s="12" t="s">
        <v>701</v>
      </c>
      <c r="C252" s="12">
        <v>200</v>
      </c>
      <c r="D252" s="5">
        <v>222680</v>
      </c>
    </row>
    <row r="253" spans="1:5" s="3" customFormat="1" ht="57.75" customHeight="1">
      <c r="A253" s="20" t="s">
        <v>704</v>
      </c>
      <c r="B253" s="12" t="s">
        <v>702</v>
      </c>
      <c r="C253" s="12">
        <v>200</v>
      </c>
      <c r="D253" s="5">
        <f>28200+30000</f>
        <v>58200</v>
      </c>
    </row>
    <row r="254" spans="1:5" s="3" customFormat="1" ht="68.25" customHeight="1">
      <c r="A254" s="18" t="s">
        <v>639</v>
      </c>
      <c r="B254" s="19" t="s">
        <v>640</v>
      </c>
      <c r="C254" s="19"/>
      <c r="D254" s="14">
        <f>D255</f>
        <v>10000000</v>
      </c>
    </row>
    <row r="255" spans="1:5" s="3" customFormat="1" ht="68.25" customHeight="1">
      <c r="A255" s="20" t="s">
        <v>641</v>
      </c>
      <c r="B255" s="12" t="s">
        <v>642</v>
      </c>
      <c r="C255" s="12">
        <v>200</v>
      </c>
      <c r="D255" s="5">
        <v>10000000</v>
      </c>
    </row>
    <row r="256" spans="1:5" s="3" customFormat="1" ht="68.25" customHeight="1">
      <c r="A256" s="16" t="s">
        <v>552</v>
      </c>
      <c r="B256" s="17" t="s">
        <v>70</v>
      </c>
      <c r="C256" s="17"/>
      <c r="D256" s="13">
        <f>D257</f>
        <v>1160041.32</v>
      </c>
    </row>
    <row r="257" spans="1:4" s="3" customFormat="1" ht="68.25" customHeight="1">
      <c r="A257" s="18" t="s">
        <v>553</v>
      </c>
      <c r="B257" s="19" t="s">
        <v>554</v>
      </c>
      <c r="C257" s="17"/>
      <c r="D257" s="14">
        <f>SUM(D258:D259)</f>
        <v>1160041.32</v>
      </c>
    </row>
    <row r="258" spans="1:4" s="3" customFormat="1" ht="91.5" customHeight="1">
      <c r="A258" s="20" t="s">
        <v>644</v>
      </c>
      <c r="B258" s="12" t="s">
        <v>643</v>
      </c>
      <c r="C258" s="12">
        <v>600</v>
      </c>
      <c r="D258" s="5">
        <v>756000.92</v>
      </c>
    </row>
    <row r="259" spans="1:4" s="3" customFormat="1" ht="86.25" customHeight="1">
      <c r="A259" s="20" t="s">
        <v>555</v>
      </c>
      <c r="B259" s="12" t="s">
        <v>556</v>
      </c>
      <c r="C259" s="12">
        <v>200</v>
      </c>
      <c r="D259" s="5">
        <f>400000+4040.4</f>
        <v>404040.4</v>
      </c>
    </row>
    <row r="260" spans="1:4" s="3" customFormat="1" ht="73.5" customHeight="1">
      <c r="A260" s="23" t="s">
        <v>340</v>
      </c>
      <c r="B260" s="17" t="s">
        <v>247</v>
      </c>
      <c r="C260" s="12"/>
      <c r="D260" s="13">
        <f>D261+D263+D264+D265</f>
        <v>218829.91</v>
      </c>
    </row>
    <row r="261" spans="1:4" ht="48" customHeight="1">
      <c r="A261" s="21" t="s">
        <v>248</v>
      </c>
      <c r="B261" s="19" t="s">
        <v>249</v>
      </c>
      <c r="C261" s="12"/>
      <c r="D261" s="14">
        <f>D262</f>
        <v>212829.91</v>
      </c>
    </row>
    <row r="262" spans="1:4" ht="89.25" customHeight="1">
      <c r="A262" s="11" t="s">
        <v>393</v>
      </c>
      <c r="B262" s="12" t="s">
        <v>250</v>
      </c>
      <c r="C262" s="12">
        <v>200</v>
      </c>
      <c r="D262" s="5">
        <f>242000-29170.09</f>
        <v>212829.91</v>
      </c>
    </row>
    <row r="263" spans="1:4" s="3" customFormat="1" ht="49.5" hidden="1" customHeight="1">
      <c r="A263" s="21" t="s">
        <v>251</v>
      </c>
      <c r="B263" s="19" t="s">
        <v>252</v>
      </c>
      <c r="C263" s="12"/>
      <c r="D263" s="14">
        <v>0</v>
      </c>
    </row>
    <row r="264" spans="1:4" s="4" customFormat="1" ht="47.25" hidden="1" customHeight="1">
      <c r="A264" s="21" t="s">
        <v>124</v>
      </c>
      <c r="B264" s="19" t="s">
        <v>253</v>
      </c>
      <c r="C264" s="19"/>
      <c r="D264" s="14">
        <v>0</v>
      </c>
    </row>
    <row r="265" spans="1:4" s="4" customFormat="1" ht="47.25" customHeight="1">
      <c r="A265" s="21" t="s">
        <v>251</v>
      </c>
      <c r="B265" s="19" t="s">
        <v>252</v>
      </c>
      <c r="C265" s="12"/>
      <c r="D265" s="14">
        <f>D266</f>
        <v>6000</v>
      </c>
    </row>
    <row r="266" spans="1:4" s="4" customFormat="1" ht="68.25" customHeight="1">
      <c r="A266" s="11" t="s">
        <v>510</v>
      </c>
      <c r="B266" s="12" t="s">
        <v>511</v>
      </c>
      <c r="C266" s="12">
        <v>600</v>
      </c>
      <c r="D266" s="5">
        <v>6000</v>
      </c>
    </row>
    <row r="267" spans="1:4" ht="105.75" customHeight="1">
      <c r="A267" s="16" t="s">
        <v>254</v>
      </c>
      <c r="B267" s="17" t="s">
        <v>71</v>
      </c>
      <c r="C267" s="17"/>
      <c r="D267" s="13">
        <f>D268+D274+D282</f>
        <v>4143939.94</v>
      </c>
    </row>
    <row r="268" spans="1:4" ht="49.5" customHeight="1">
      <c r="A268" s="16" t="s">
        <v>192</v>
      </c>
      <c r="B268" s="17" t="s">
        <v>72</v>
      </c>
      <c r="C268" s="17"/>
      <c r="D268" s="13">
        <f t="shared" ref="D268" si="23">D269</f>
        <v>117250</v>
      </c>
    </row>
    <row r="269" spans="1:4" s="4" customFormat="1" ht="66.75" customHeight="1">
      <c r="A269" s="21" t="s">
        <v>255</v>
      </c>
      <c r="B269" s="19" t="s">
        <v>256</v>
      </c>
      <c r="C269" s="19"/>
      <c r="D269" s="14">
        <f>SUM(D270:D273)</f>
        <v>117250</v>
      </c>
    </row>
    <row r="270" spans="1:4" s="3" customFormat="1" ht="90" customHeight="1">
      <c r="A270" s="20" t="s">
        <v>661</v>
      </c>
      <c r="B270" s="12" t="s">
        <v>257</v>
      </c>
      <c r="C270" s="12">
        <v>600</v>
      </c>
      <c r="D270" s="5">
        <v>18800</v>
      </c>
    </row>
    <row r="271" spans="1:4" ht="105.75" customHeight="1">
      <c r="A271" s="20" t="s">
        <v>150</v>
      </c>
      <c r="B271" s="12" t="s">
        <v>258</v>
      </c>
      <c r="C271" s="12">
        <v>200</v>
      </c>
      <c r="D271" s="5">
        <v>4300</v>
      </c>
    </row>
    <row r="272" spans="1:4" ht="92.25" customHeight="1">
      <c r="A272" s="20" t="s">
        <v>193</v>
      </c>
      <c r="B272" s="12" t="s">
        <v>259</v>
      </c>
      <c r="C272" s="12">
        <v>200</v>
      </c>
      <c r="D272" s="5">
        <f>104800-72100</f>
        <v>32700</v>
      </c>
    </row>
    <row r="273" spans="1:4" ht="92.25" customHeight="1">
      <c r="A273" s="20" t="s">
        <v>466</v>
      </c>
      <c r="B273" s="12" t="s">
        <v>465</v>
      </c>
      <c r="C273" s="12">
        <v>200</v>
      </c>
      <c r="D273" s="5">
        <f>10000+51450</f>
        <v>61450</v>
      </c>
    </row>
    <row r="274" spans="1:4" s="4" customFormat="1" ht="37.5">
      <c r="A274" s="16" t="s">
        <v>194</v>
      </c>
      <c r="B274" s="17" t="s">
        <v>73</v>
      </c>
      <c r="C274" s="17"/>
      <c r="D274" s="13">
        <f t="shared" ref="D274" si="24">D275</f>
        <v>3650064.4699999997</v>
      </c>
    </row>
    <row r="275" spans="1:4" s="3" customFormat="1" ht="66" customHeight="1">
      <c r="A275" s="21" t="s">
        <v>260</v>
      </c>
      <c r="B275" s="19" t="s">
        <v>261</v>
      </c>
      <c r="C275" s="19"/>
      <c r="D275" s="14">
        <f>SUM(D276:D281)</f>
        <v>3650064.4699999997</v>
      </c>
    </row>
    <row r="276" spans="1:4" ht="56.25">
      <c r="A276" s="20" t="s">
        <v>301</v>
      </c>
      <c r="B276" s="12" t="s">
        <v>262</v>
      </c>
      <c r="C276" s="12">
        <v>200</v>
      </c>
      <c r="D276" s="5">
        <f>100000+292500+61584.6+46900+6000+46000</f>
        <v>552984.6</v>
      </c>
    </row>
    <row r="277" spans="1:4" ht="37.5">
      <c r="A277" s="20" t="s">
        <v>394</v>
      </c>
      <c r="B277" s="12" t="s">
        <v>262</v>
      </c>
      <c r="C277" s="12">
        <v>800</v>
      </c>
      <c r="D277" s="5">
        <f>30000+20000-1725.18-5274.82</f>
        <v>43000</v>
      </c>
    </row>
    <row r="278" spans="1:4" ht="75">
      <c r="A278" s="11" t="s">
        <v>312</v>
      </c>
      <c r="B278" s="12" t="s">
        <v>302</v>
      </c>
      <c r="C278" s="12">
        <v>600</v>
      </c>
      <c r="D278" s="5">
        <v>190700</v>
      </c>
    </row>
    <row r="279" spans="1:4" ht="114" customHeight="1">
      <c r="A279" s="11" t="s">
        <v>409</v>
      </c>
      <c r="B279" s="12" t="s">
        <v>408</v>
      </c>
      <c r="C279" s="12">
        <v>100</v>
      </c>
      <c r="D279" s="5">
        <f>2424272.71+14374.48+37614.9-130323.76+36664.32-29730.02+22571.76</f>
        <v>2375444.3899999997</v>
      </c>
    </row>
    <row r="280" spans="1:4" ht="56.25">
      <c r="A280" s="11" t="s">
        <v>467</v>
      </c>
      <c r="B280" s="12" t="s">
        <v>408</v>
      </c>
      <c r="C280" s="12">
        <v>200</v>
      </c>
      <c r="D280" s="5">
        <f>150000+511.53+1524.71+2187.45+29730.02+27500+120000-9584.6+102995.27-46900+50350+9341.1+48780</f>
        <v>486435.48</v>
      </c>
    </row>
    <row r="281" spans="1:4" ht="37.5">
      <c r="A281" s="11" t="s">
        <v>468</v>
      </c>
      <c r="B281" s="12" t="s">
        <v>408</v>
      </c>
      <c r="C281" s="12">
        <v>800</v>
      </c>
      <c r="D281" s="5">
        <v>1500</v>
      </c>
    </row>
    <row r="282" spans="1:4" s="3" customFormat="1" ht="71.25" customHeight="1">
      <c r="A282" s="23" t="s">
        <v>263</v>
      </c>
      <c r="B282" s="17" t="s">
        <v>264</v>
      </c>
      <c r="C282" s="12"/>
      <c r="D282" s="13">
        <f t="shared" ref="D282" si="25">D283</f>
        <v>376625.47000000003</v>
      </c>
    </row>
    <row r="283" spans="1:4" ht="66" customHeight="1">
      <c r="A283" s="21" t="s">
        <v>265</v>
      </c>
      <c r="B283" s="19" t="s">
        <v>266</v>
      </c>
      <c r="C283" s="12"/>
      <c r="D283" s="14">
        <f>SUM(D284:D287)</f>
        <v>376625.47000000003</v>
      </c>
    </row>
    <row r="284" spans="1:4" s="3" customFormat="1" ht="68.25" customHeight="1">
      <c r="A284" s="11" t="s">
        <v>267</v>
      </c>
      <c r="B284" s="12" t="s">
        <v>268</v>
      </c>
      <c r="C284" s="12">
        <v>200</v>
      </c>
      <c r="D284" s="5">
        <v>10000</v>
      </c>
    </row>
    <row r="285" spans="1:4" ht="63.75" customHeight="1">
      <c r="A285" s="11" t="s">
        <v>151</v>
      </c>
      <c r="B285" s="12" t="s">
        <v>269</v>
      </c>
      <c r="C285" s="12">
        <v>200</v>
      </c>
      <c r="D285" s="5">
        <v>10000</v>
      </c>
    </row>
    <row r="286" spans="1:4" ht="63.75" customHeight="1">
      <c r="A286" s="11" t="s">
        <v>270</v>
      </c>
      <c r="B286" s="12" t="s">
        <v>271</v>
      </c>
      <c r="C286" s="12">
        <v>200</v>
      </c>
      <c r="D286" s="5">
        <f>81000-52000+399196.57-15341.1-100230</f>
        <v>312625.47000000003</v>
      </c>
    </row>
    <row r="287" spans="1:4" ht="111" customHeight="1">
      <c r="A287" s="11" t="s">
        <v>395</v>
      </c>
      <c r="B287" s="12" t="s">
        <v>272</v>
      </c>
      <c r="C287" s="12">
        <v>600</v>
      </c>
      <c r="D287" s="5">
        <v>44000</v>
      </c>
    </row>
    <row r="288" spans="1:4" s="4" customFormat="1" ht="66" customHeight="1">
      <c r="A288" s="16" t="s">
        <v>195</v>
      </c>
      <c r="B288" s="17" t="s">
        <v>74</v>
      </c>
      <c r="C288" s="17"/>
      <c r="D288" s="13">
        <f>D289+D295+D299+D302</f>
        <v>6007649.6399999997</v>
      </c>
    </row>
    <row r="289" spans="1:4" ht="56.25">
      <c r="A289" s="16" t="s">
        <v>196</v>
      </c>
      <c r="B289" s="17" t="s">
        <v>75</v>
      </c>
      <c r="C289" s="17"/>
      <c r="D289" s="13">
        <f t="shared" ref="D289" si="26">D290</f>
        <v>714717.47</v>
      </c>
    </row>
    <row r="290" spans="1:4" s="3" customFormat="1" ht="52.5" customHeight="1">
      <c r="A290" s="18" t="s">
        <v>197</v>
      </c>
      <c r="B290" s="19" t="s">
        <v>76</v>
      </c>
      <c r="C290" s="19"/>
      <c r="D290" s="14">
        <f>SUM(D291:D294)</f>
        <v>714717.47</v>
      </c>
    </row>
    <row r="291" spans="1:4" s="4" customFormat="1" ht="99.75" customHeight="1">
      <c r="A291" s="11" t="s">
        <v>373</v>
      </c>
      <c r="B291" s="12" t="s">
        <v>355</v>
      </c>
      <c r="C291" s="12">
        <v>200</v>
      </c>
      <c r="D291" s="5">
        <v>150000</v>
      </c>
    </row>
    <row r="292" spans="1:4" s="4" customFormat="1" ht="115.5" customHeight="1">
      <c r="A292" s="11" t="s">
        <v>357</v>
      </c>
      <c r="B292" s="12" t="s">
        <v>356</v>
      </c>
      <c r="C292" s="12">
        <v>200</v>
      </c>
      <c r="D292" s="5">
        <f>210000+245.97+110000+100000+1621.5+75000</f>
        <v>496867.47</v>
      </c>
    </row>
    <row r="293" spans="1:4" s="4" customFormat="1" ht="105.75" customHeight="1">
      <c r="A293" s="11" t="s">
        <v>663</v>
      </c>
      <c r="B293" s="12" t="s">
        <v>662</v>
      </c>
      <c r="C293" s="12">
        <v>200</v>
      </c>
      <c r="D293" s="5">
        <f>227700+2300-160528.5-1621.5</f>
        <v>67850</v>
      </c>
    </row>
    <row r="294" spans="1:4" s="4" customFormat="1" ht="77.25" customHeight="1">
      <c r="A294" s="11" t="s">
        <v>558</v>
      </c>
      <c r="B294" s="12" t="s">
        <v>557</v>
      </c>
      <c r="C294" s="12">
        <v>200</v>
      </c>
      <c r="D294" s="5">
        <f>43705.78+441.47-17522.45-176.99-245.97-26183.33-18.51</f>
        <v>-5.2402526762307389E-12</v>
      </c>
    </row>
    <row r="295" spans="1:4" s="3" customFormat="1" ht="85.5" customHeight="1">
      <c r="A295" s="16" t="s">
        <v>198</v>
      </c>
      <c r="B295" s="17" t="s">
        <v>77</v>
      </c>
      <c r="C295" s="17"/>
      <c r="D295" s="13">
        <f t="shared" ref="D295" si="27">D296</f>
        <v>392000</v>
      </c>
    </row>
    <row r="296" spans="1:4" ht="50.25" customHeight="1">
      <c r="A296" s="18" t="s">
        <v>199</v>
      </c>
      <c r="B296" s="19" t="s">
        <v>78</v>
      </c>
      <c r="C296" s="19"/>
      <c r="D296" s="14">
        <f>SUM(D297:D298)</f>
        <v>392000</v>
      </c>
    </row>
    <row r="297" spans="1:4" ht="115.5" customHeight="1">
      <c r="A297" s="20" t="s">
        <v>378</v>
      </c>
      <c r="B297" s="12" t="s">
        <v>273</v>
      </c>
      <c r="C297" s="12">
        <v>200</v>
      </c>
      <c r="D297" s="5">
        <f>154000+50000+88000</f>
        <v>292000</v>
      </c>
    </row>
    <row r="298" spans="1:4" ht="81" customHeight="1">
      <c r="A298" s="20" t="s">
        <v>469</v>
      </c>
      <c r="B298" s="12" t="s">
        <v>480</v>
      </c>
      <c r="C298" s="12">
        <v>200</v>
      </c>
      <c r="D298" s="5">
        <v>100000</v>
      </c>
    </row>
    <row r="299" spans="1:4" s="3" customFormat="1" ht="97.5" customHeight="1">
      <c r="A299" s="23" t="s">
        <v>383</v>
      </c>
      <c r="B299" s="17" t="s">
        <v>384</v>
      </c>
      <c r="C299" s="12"/>
      <c r="D299" s="13">
        <f t="shared" ref="D299" si="28">D300</f>
        <v>4498932.17</v>
      </c>
    </row>
    <row r="300" spans="1:4" ht="102.75" customHeight="1">
      <c r="A300" s="21" t="s">
        <v>374</v>
      </c>
      <c r="B300" s="19" t="s">
        <v>385</v>
      </c>
      <c r="C300" s="12"/>
      <c r="D300" s="14">
        <f>SUM(D301:D301)</f>
        <v>4498932.17</v>
      </c>
    </row>
    <row r="301" spans="1:4" ht="71.25" customHeight="1">
      <c r="A301" s="11" t="s">
        <v>738</v>
      </c>
      <c r="B301" s="12" t="s">
        <v>739</v>
      </c>
      <c r="C301" s="12">
        <v>200</v>
      </c>
      <c r="D301" s="5">
        <v>4498932.17</v>
      </c>
    </row>
    <row r="302" spans="1:4" ht="54" customHeight="1">
      <c r="A302" s="23" t="s">
        <v>785</v>
      </c>
      <c r="B302" s="17" t="s">
        <v>784</v>
      </c>
      <c r="C302" s="17"/>
      <c r="D302" s="13">
        <f>D303</f>
        <v>402000</v>
      </c>
    </row>
    <row r="303" spans="1:4" ht="56.25" customHeight="1">
      <c r="A303" s="21" t="s">
        <v>787</v>
      </c>
      <c r="B303" s="19" t="s">
        <v>786</v>
      </c>
      <c r="C303" s="19"/>
      <c r="D303" s="14">
        <f>D304</f>
        <v>402000</v>
      </c>
    </row>
    <row r="304" spans="1:4" ht="71.25" customHeight="1">
      <c r="A304" s="11" t="s">
        <v>789</v>
      </c>
      <c r="B304" s="12" t="s">
        <v>788</v>
      </c>
      <c r="C304" s="12">
        <v>200</v>
      </c>
      <c r="D304" s="5">
        <v>402000</v>
      </c>
    </row>
    <row r="305" spans="1:4" ht="83.25" customHeight="1">
      <c r="A305" s="16" t="s">
        <v>379</v>
      </c>
      <c r="B305" s="17" t="s">
        <v>79</v>
      </c>
      <c r="C305" s="17"/>
      <c r="D305" s="13">
        <f t="shared" ref="D305:D306" si="29">D306</f>
        <v>110000</v>
      </c>
    </row>
    <row r="306" spans="1:4" s="4" customFormat="1" ht="66.75" customHeight="1">
      <c r="A306" s="16" t="s">
        <v>200</v>
      </c>
      <c r="B306" s="17" t="s">
        <v>80</v>
      </c>
      <c r="C306" s="17"/>
      <c r="D306" s="13">
        <f t="shared" si="29"/>
        <v>110000</v>
      </c>
    </row>
    <row r="307" spans="1:4" s="4" customFormat="1" ht="65.25" customHeight="1">
      <c r="A307" s="18" t="s">
        <v>201</v>
      </c>
      <c r="B307" s="19" t="s">
        <v>81</v>
      </c>
      <c r="C307" s="19"/>
      <c r="D307" s="14">
        <f>SUM(D308:D308)</f>
        <v>110000</v>
      </c>
    </row>
    <row r="308" spans="1:4" s="3" customFormat="1" ht="106.5" customHeight="1">
      <c r="A308" s="20" t="s">
        <v>305</v>
      </c>
      <c r="B308" s="12" t="s">
        <v>82</v>
      </c>
      <c r="C308" s="12">
        <v>600</v>
      </c>
      <c r="D308" s="5">
        <v>110000</v>
      </c>
    </row>
    <row r="309" spans="1:4" ht="103.5" customHeight="1">
      <c r="A309" s="16" t="s">
        <v>84</v>
      </c>
      <c r="B309" s="17" t="s">
        <v>83</v>
      </c>
      <c r="C309" s="17"/>
      <c r="D309" s="13">
        <f>D310+D317</f>
        <v>234800</v>
      </c>
    </row>
    <row r="310" spans="1:4" ht="85.5" customHeight="1">
      <c r="A310" s="16" t="s">
        <v>155</v>
      </c>
      <c r="B310" s="17" t="s">
        <v>85</v>
      </c>
      <c r="C310" s="17"/>
      <c r="D310" s="13">
        <f>D311+D314</f>
        <v>80000</v>
      </c>
    </row>
    <row r="311" spans="1:4" ht="70.5" customHeight="1">
      <c r="A311" s="18" t="s">
        <v>87</v>
      </c>
      <c r="B311" s="19" t="s">
        <v>86</v>
      </c>
      <c r="C311" s="19"/>
      <c r="D311" s="14">
        <f>SUM(D312:D313)</f>
        <v>40000</v>
      </c>
    </row>
    <row r="312" spans="1:4" s="4" customFormat="1" ht="102" customHeight="1">
      <c r="A312" s="20" t="s">
        <v>152</v>
      </c>
      <c r="B312" s="12" t="s">
        <v>88</v>
      </c>
      <c r="C312" s="12">
        <v>200</v>
      </c>
      <c r="D312" s="5">
        <f>10000+20000</f>
        <v>30000</v>
      </c>
    </row>
    <row r="313" spans="1:4" s="4" customFormat="1" ht="87.75" customHeight="1">
      <c r="A313" s="20" t="s">
        <v>664</v>
      </c>
      <c r="B313" s="12" t="s">
        <v>89</v>
      </c>
      <c r="C313" s="12">
        <v>600</v>
      </c>
      <c r="D313" s="5">
        <v>10000</v>
      </c>
    </row>
    <row r="314" spans="1:4" ht="67.5" customHeight="1">
      <c r="A314" s="18" t="s">
        <v>91</v>
      </c>
      <c r="B314" s="19" t="s">
        <v>90</v>
      </c>
      <c r="C314" s="19"/>
      <c r="D314" s="14">
        <f>SUM(D315:D316)</f>
        <v>40000</v>
      </c>
    </row>
    <row r="315" spans="1:4" ht="69" customHeight="1">
      <c r="A315" s="20" t="s">
        <v>162</v>
      </c>
      <c r="B315" s="12" t="s">
        <v>92</v>
      </c>
      <c r="C315" s="12">
        <v>200</v>
      </c>
      <c r="D315" s="5">
        <f>30000+20000-20000</f>
        <v>30000</v>
      </c>
    </row>
    <row r="316" spans="1:4" ht="68.25" customHeight="1">
      <c r="A316" s="20" t="s">
        <v>153</v>
      </c>
      <c r="B316" s="12" t="s">
        <v>93</v>
      </c>
      <c r="C316" s="12">
        <v>200</v>
      </c>
      <c r="D316" s="5">
        <v>10000</v>
      </c>
    </row>
    <row r="317" spans="1:4" s="3" customFormat="1" ht="100.5" customHeight="1">
      <c r="A317" s="16" t="s">
        <v>306</v>
      </c>
      <c r="B317" s="17" t="s">
        <v>94</v>
      </c>
      <c r="C317" s="17"/>
      <c r="D317" s="13">
        <f t="shared" ref="D317:D318" si="30">D318</f>
        <v>154800</v>
      </c>
    </row>
    <row r="318" spans="1:4" ht="50.25" customHeight="1">
      <c r="A318" s="18" t="s">
        <v>307</v>
      </c>
      <c r="B318" s="19" t="s">
        <v>95</v>
      </c>
      <c r="C318" s="19"/>
      <c r="D318" s="14">
        <f t="shared" si="30"/>
        <v>154800</v>
      </c>
    </row>
    <row r="319" spans="1:4" ht="123" customHeight="1">
      <c r="A319" s="20" t="s">
        <v>308</v>
      </c>
      <c r="B319" s="12" t="s">
        <v>96</v>
      </c>
      <c r="C319" s="12">
        <v>600</v>
      </c>
      <c r="D319" s="5">
        <v>154800</v>
      </c>
    </row>
    <row r="320" spans="1:4" ht="90" customHeight="1">
      <c r="A320" s="16" t="s">
        <v>202</v>
      </c>
      <c r="B320" s="17" t="s">
        <v>97</v>
      </c>
      <c r="C320" s="17"/>
      <c r="D320" s="13">
        <f>D321+D339+D346+D335</f>
        <v>80928046.370000005</v>
      </c>
    </row>
    <row r="321" spans="1:5" ht="93" customHeight="1">
      <c r="A321" s="16" t="s">
        <v>203</v>
      </c>
      <c r="B321" s="17" t="s">
        <v>98</v>
      </c>
      <c r="C321" s="17"/>
      <c r="D321" s="13">
        <f>D322+D324+D328+D331</f>
        <v>56280795.690000005</v>
      </c>
    </row>
    <row r="322" spans="1:5" s="4" customFormat="1" ht="63" customHeight="1">
      <c r="A322" s="18" t="s">
        <v>100</v>
      </c>
      <c r="B322" s="19" t="s">
        <v>99</v>
      </c>
      <c r="C322" s="19"/>
      <c r="D322" s="14">
        <f t="shared" ref="D322" si="31">D323</f>
        <v>1883241.33</v>
      </c>
    </row>
    <row r="323" spans="1:5" s="3" customFormat="1" ht="126" customHeight="1">
      <c r="A323" s="20" t="s">
        <v>133</v>
      </c>
      <c r="B323" s="12" t="s">
        <v>101</v>
      </c>
      <c r="C323" s="12">
        <v>100</v>
      </c>
      <c r="D323" s="5">
        <f>1700949.87+140320-140320+140400.73+41890.73</f>
        <v>1883241.33</v>
      </c>
    </row>
    <row r="324" spans="1:5" ht="88.5" customHeight="1">
      <c r="A324" s="18" t="s">
        <v>204</v>
      </c>
      <c r="B324" s="19" t="s">
        <v>102</v>
      </c>
      <c r="C324" s="19"/>
      <c r="D324" s="14">
        <f t="shared" ref="D324" si="32">SUM(D325:D327)</f>
        <v>53714405.750000007</v>
      </c>
    </row>
    <row r="325" spans="1:5" ht="112.5">
      <c r="A325" s="20" t="s">
        <v>205</v>
      </c>
      <c r="B325" s="12" t="s">
        <v>103</v>
      </c>
      <c r="C325" s="12">
        <v>100</v>
      </c>
      <c r="D325" s="5">
        <f>49529615.64+24660.94+15045.96+191154.6+545508.51+78064.7+129588.65+184688.95+165980.52+56123+81077.58+26638</f>
        <v>51028147.050000004</v>
      </c>
    </row>
    <row r="326" spans="1:5" s="4" customFormat="1" ht="75">
      <c r="A326" s="20" t="s">
        <v>380</v>
      </c>
      <c r="B326" s="12" t="s">
        <v>103</v>
      </c>
      <c r="C326" s="12">
        <v>200</v>
      </c>
      <c r="D326" s="5">
        <f>2516663.12+876.91+3069.18+1023.06+730.76+38423.81+10348.82+1056.17+15279.98+362.25+71721.04+23838.53+2386.43+18906.22-13000-18450-4400-81077.58-4500+28419</f>
        <v>2611677.7000000002</v>
      </c>
    </row>
    <row r="327" spans="1:5" s="3" customFormat="1" ht="56.25">
      <c r="A327" s="20" t="s">
        <v>206</v>
      </c>
      <c r="B327" s="12" t="s">
        <v>103</v>
      </c>
      <c r="C327" s="12">
        <v>800</v>
      </c>
      <c r="D327" s="5">
        <f>110000-4000-2000-29419</f>
        <v>74581</v>
      </c>
    </row>
    <row r="328" spans="1:5" s="4" customFormat="1" ht="66" customHeight="1">
      <c r="A328" s="18" t="s">
        <v>207</v>
      </c>
      <c r="B328" s="19" t="s">
        <v>104</v>
      </c>
      <c r="C328" s="19"/>
      <c r="D328" s="14">
        <f>SUM(D329:D330)</f>
        <v>120000</v>
      </c>
    </row>
    <row r="329" spans="1:5" s="3" customFormat="1" ht="93.75" customHeight="1">
      <c r="A329" s="26" t="s">
        <v>208</v>
      </c>
      <c r="B329" s="12" t="s">
        <v>129</v>
      </c>
      <c r="C329" s="12">
        <v>200</v>
      </c>
      <c r="D329" s="5">
        <f>60500+19200+10000+4400+7600+8000-9900+1000</f>
        <v>100800</v>
      </c>
    </row>
    <row r="330" spans="1:5" ht="74.25" customHeight="1">
      <c r="A330" s="20" t="s">
        <v>513</v>
      </c>
      <c r="B330" s="12" t="s">
        <v>512</v>
      </c>
      <c r="C330" s="12">
        <v>200</v>
      </c>
      <c r="D330" s="5">
        <f>9000+10200</f>
        <v>19200</v>
      </c>
    </row>
    <row r="331" spans="1:5" ht="66" customHeight="1">
      <c r="A331" s="18" t="s">
        <v>106</v>
      </c>
      <c r="B331" s="19" t="s">
        <v>105</v>
      </c>
      <c r="C331" s="19"/>
      <c r="D331" s="14">
        <f>SUM(D332:D334)</f>
        <v>563148.61</v>
      </c>
    </row>
    <row r="332" spans="1:5" ht="89.25" customHeight="1">
      <c r="A332" s="20" t="s">
        <v>160</v>
      </c>
      <c r="B332" s="12" t="s">
        <v>107</v>
      </c>
      <c r="C332" s="12">
        <v>200</v>
      </c>
      <c r="D332" s="5">
        <v>10839</v>
      </c>
      <c r="E332" s="33"/>
    </row>
    <row r="333" spans="1:5" ht="117.75" customHeight="1">
      <c r="A333" s="20" t="s">
        <v>161</v>
      </c>
      <c r="B333" s="12" t="s">
        <v>108</v>
      </c>
      <c r="C333" s="12">
        <v>100</v>
      </c>
      <c r="D333" s="5">
        <f>487530.12+54779.49</f>
        <v>542309.61</v>
      </c>
      <c r="E333" s="33"/>
    </row>
    <row r="334" spans="1:5" ht="95.25" customHeight="1">
      <c r="A334" s="20" t="s">
        <v>559</v>
      </c>
      <c r="B334" s="12" t="s">
        <v>108</v>
      </c>
      <c r="C334" s="12">
        <v>200</v>
      </c>
      <c r="D334" s="5">
        <f>64779.49-54779.49</f>
        <v>10000</v>
      </c>
    </row>
    <row r="335" spans="1:5" ht="130.5" customHeight="1">
      <c r="A335" s="23" t="s">
        <v>481</v>
      </c>
      <c r="B335" s="17" t="s">
        <v>482</v>
      </c>
      <c r="C335" s="12"/>
      <c r="D335" s="13">
        <f>D336</f>
        <v>5995526.6000000006</v>
      </c>
    </row>
    <row r="336" spans="1:5" ht="98.25" customHeight="1">
      <c r="A336" s="18" t="s">
        <v>483</v>
      </c>
      <c r="B336" s="19" t="s">
        <v>484</v>
      </c>
      <c r="C336" s="12"/>
      <c r="D336" s="14">
        <f>SUM(D337:D338)</f>
        <v>5995526.6000000006</v>
      </c>
    </row>
    <row r="337" spans="1:4" ht="98.25" customHeight="1">
      <c r="A337" s="20" t="s">
        <v>560</v>
      </c>
      <c r="B337" s="12" t="s">
        <v>561</v>
      </c>
      <c r="C337" s="12">
        <v>600</v>
      </c>
      <c r="D337" s="5">
        <v>1565009</v>
      </c>
    </row>
    <row r="338" spans="1:4" ht="110.25" customHeight="1">
      <c r="A338" s="20" t="s">
        <v>485</v>
      </c>
      <c r="B338" s="12" t="s">
        <v>486</v>
      </c>
      <c r="C338" s="12">
        <v>600</v>
      </c>
      <c r="D338" s="5">
        <f>4396911.57-576645+237516.91+30091.92+14400+1135.81+26212.6+100893.79+200000</f>
        <v>4430517.6000000006</v>
      </c>
    </row>
    <row r="339" spans="1:4" ht="56.25">
      <c r="A339" s="23" t="s">
        <v>274</v>
      </c>
      <c r="B339" s="17" t="s">
        <v>275</v>
      </c>
      <c r="C339" s="17"/>
      <c r="D339" s="13">
        <f>D340+D343</f>
        <v>1536461.3399999999</v>
      </c>
    </row>
    <row r="340" spans="1:4" ht="68.25" customHeight="1">
      <c r="A340" s="21" t="s">
        <v>276</v>
      </c>
      <c r="B340" s="19" t="s">
        <v>277</v>
      </c>
      <c r="C340" s="19"/>
      <c r="D340" s="14">
        <f>SUM(D341:D342)</f>
        <v>240450</v>
      </c>
    </row>
    <row r="341" spans="1:4" s="3" customFormat="1" ht="105.75" customHeight="1">
      <c r="A341" s="11" t="s">
        <v>278</v>
      </c>
      <c r="B341" s="12" t="s">
        <v>279</v>
      </c>
      <c r="C341" s="12">
        <v>200</v>
      </c>
      <c r="D341" s="5">
        <f>40450+100000</f>
        <v>140450</v>
      </c>
    </row>
    <row r="342" spans="1:4" ht="72.75" customHeight="1">
      <c r="A342" s="11" t="s">
        <v>795</v>
      </c>
      <c r="B342" s="12" t="s">
        <v>794</v>
      </c>
      <c r="C342" s="12">
        <v>200</v>
      </c>
      <c r="D342" s="5">
        <v>100000</v>
      </c>
    </row>
    <row r="343" spans="1:4" ht="45.75" customHeight="1">
      <c r="A343" s="21" t="s">
        <v>280</v>
      </c>
      <c r="B343" s="19" t="s">
        <v>281</v>
      </c>
      <c r="C343" s="12"/>
      <c r="D343" s="14">
        <f t="shared" ref="D343" si="33">SUM(D344:D345)</f>
        <v>1296011.3399999999</v>
      </c>
    </row>
    <row r="344" spans="1:4" ht="82.5" customHeight="1">
      <c r="A344" s="11" t="s">
        <v>282</v>
      </c>
      <c r="B344" s="12" t="s">
        <v>283</v>
      </c>
      <c r="C344" s="12">
        <v>200</v>
      </c>
      <c r="D344" s="5">
        <f>150000+444.34+167400+16000+54163+14954+50350+87000</f>
        <v>540311.34</v>
      </c>
    </row>
    <row r="345" spans="1:4" ht="67.5" customHeight="1">
      <c r="A345" s="11" t="s">
        <v>399</v>
      </c>
      <c r="B345" s="12" t="s">
        <v>398</v>
      </c>
      <c r="C345" s="12">
        <v>200</v>
      </c>
      <c r="D345" s="5">
        <f>50000+100000+110000+50000+140000+265700+40000</f>
        <v>755700</v>
      </c>
    </row>
    <row r="346" spans="1:4" ht="95.25" customHeight="1">
      <c r="A346" s="23" t="s">
        <v>416</v>
      </c>
      <c r="B346" s="17" t="s">
        <v>417</v>
      </c>
      <c r="C346" s="17"/>
      <c r="D346" s="13">
        <f t="shared" ref="D346" si="34">D347</f>
        <v>17115262.740000002</v>
      </c>
    </row>
    <row r="347" spans="1:4" ht="51.75" customHeight="1">
      <c r="A347" s="21" t="s">
        <v>418</v>
      </c>
      <c r="B347" s="19" t="s">
        <v>419</v>
      </c>
      <c r="C347" s="19"/>
      <c r="D347" s="14">
        <f>SUM(D348:D350)</f>
        <v>17115262.740000002</v>
      </c>
    </row>
    <row r="348" spans="1:4" ht="137.25" customHeight="1">
      <c r="A348" s="11" t="s">
        <v>420</v>
      </c>
      <c r="B348" s="12" t="s">
        <v>421</v>
      </c>
      <c r="C348" s="12">
        <v>100</v>
      </c>
      <c r="D348" s="5">
        <f>6413656.98+319315.5+628185.7+203120.46+88160.19</f>
        <v>7652438.830000001</v>
      </c>
    </row>
    <row r="349" spans="1:4" ht="102.75" customHeight="1">
      <c r="A349" s="11" t="s">
        <v>422</v>
      </c>
      <c r="B349" s="12" t="s">
        <v>421</v>
      </c>
      <c r="C349" s="12">
        <v>200</v>
      </c>
      <c r="D349" s="5">
        <f>4704130+256529.5+176287.9+5680.96+465868.33+397500+25600+110372+95425+197887.76+44500+127961.21+607690.08+2017834.56+80498.77</f>
        <v>9313766.0700000003</v>
      </c>
    </row>
    <row r="350" spans="1:4" ht="80.25" customHeight="1">
      <c r="A350" s="11" t="s">
        <v>578</v>
      </c>
      <c r="B350" s="12" t="s">
        <v>421</v>
      </c>
      <c r="C350" s="12">
        <v>800</v>
      </c>
      <c r="D350" s="5">
        <f>126606+800+21651.84</f>
        <v>149057.84</v>
      </c>
    </row>
    <row r="351" spans="1:4" ht="82.5" customHeight="1">
      <c r="A351" s="16" t="s">
        <v>110</v>
      </c>
      <c r="B351" s="17" t="s">
        <v>109</v>
      </c>
      <c r="C351" s="17"/>
      <c r="D351" s="13">
        <f>D352+D357+D361</f>
        <v>119400</v>
      </c>
    </row>
    <row r="352" spans="1:4" ht="67.5" customHeight="1">
      <c r="A352" s="16" t="s">
        <v>112</v>
      </c>
      <c r="B352" s="17" t="s">
        <v>111</v>
      </c>
      <c r="C352" s="17"/>
      <c r="D352" s="13">
        <f t="shared" ref="D352" si="35">D353</f>
        <v>89400</v>
      </c>
    </row>
    <row r="353" spans="1:4" ht="44.25" customHeight="1">
      <c r="A353" s="18" t="s">
        <v>114</v>
      </c>
      <c r="B353" s="19" t="s">
        <v>113</v>
      </c>
      <c r="C353" s="19"/>
      <c r="D353" s="14">
        <f t="shared" ref="D353" si="36">SUM(D354:D356)</f>
        <v>89400</v>
      </c>
    </row>
    <row r="354" spans="1:4" s="3" customFormat="1" ht="56.25">
      <c r="A354" s="20" t="s">
        <v>363</v>
      </c>
      <c r="B354" s="12" t="s">
        <v>364</v>
      </c>
      <c r="C354" s="12">
        <v>200</v>
      </c>
      <c r="D354" s="5">
        <f>64400-35000</f>
        <v>29400</v>
      </c>
    </row>
    <row r="355" spans="1:4" ht="75">
      <c r="A355" s="20" t="s">
        <v>365</v>
      </c>
      <c r="B355" s="12" t="s">
        <v>364</v>
      </c>
      <c r="C355" s="12">
        <v>600</v>
      </c>
      <c r="D355" s="5">
        <f>10000+35000</f>
        <v>45000</v>
      </c>
    </row>
    <row r="356" spans="1:4" ht="75">
      <c r="A356" s="20" t="s">
        <v>424</v>
      </c>
      <c r="B356" s="12" t="s">
        <v>425</v>
      </c>
      <c r="C356" s="12">
        <v>200</v>
      </c>
      <c r="D356" s="5">
        <v>15000</v>
      </c>
    </row>
    <row r="357" spans="1:4" s="4" customFormat="1" ht="37.5">
      <c r="A357" s="16" t="s">
        <v>116</v>
      </c>
      <c r="B357" s="17" t="s">
        <v>115</v>
      </c>
      <c r="C357" s="17"/>
      <c r="D357" s="13">
        <f t="shared" ref="D357" si="37">D358</f>
        <v>20000</v>
      </c>
    </row>
    <row r="358" spans="1:4" s="4" customFormat="1" ht="47.25" customHeight="1">
      <c r="A358" s="18" t="s">
        <v>381</v>
      </c>
      <c r="B358" s="19" t="s">
        <v>117</v>
      </c>
      <c r="C358" s="19"/>
      <c r="D358" s="14">
        <f>SUM(D359:D360)</f>
        <v>20000</v>
      </c>
    </row>
    <row r="359" spans="1:4" s="3" customFormat="1" ht="103.5" customHeight="1">
      <c r="A359" s="20" t="s">
        <v>154</v>
      </c>
      <c r="B359" s="12" t="s">
        <v>118</v>
      </c>
      <c r="C359" s="12">
        <v>200</v>
      </c>
      <c r="D359" s="5">
        <v>10000</v>
      </c>
    </row>
    <row r="360" spans="1:4" ht="100.5" customHeight="1">
      <c r="A360" s="20" t="s">
        <v>665</v>
      </c>
      <c r="B360" s="12" t="s">
        <v>366</v>
      </c>
      <c r="C360" s="12">
        <v>600</v>
      </c>
      <c r="D360" s="5">
        <v>10000</v>
      </c>
    </row>
    <row r="361" spans="1:4" ht="46.5" customHeight="1">
      <c r="A361" s="16" t="s">
        <v>367</v>
      </c>
      <c r="B361" s="17" t="s">
        <v>368</v>
      </c>
      <c r="C361" s="17"/>
      <c r="D361" s="13">
        <f t="shared" ref="D361" si="38">D362</f>
        <v>10000</v>
      </c>
    </row>
    <row r="362" spans="1:4" ht="48.75" customHeight="1">
      <c r="A362" s="18" t="s">
        <v>369</v>
      </c>
      <c r="B362" s="19" t="s">
        <v>370</v>
      </c>
      <c r="C362" s="19"/>
      <c r="D362" s="14">
        <f>SUM(D363:D364)</f>
        <v>10000</v>
      </c>
    </row>
    <row r="363" spans="1:4" ht="72.75" customHeight="1">
      <c r="A363" s="20" t="s">
        <v>371</v>
      </c>
      <c r="B363" s="12" t="s">
        <v>372</v>
      </c>
      <c r="C363" s="12">
        <v>200</v>
      </c>
      <c r="D363" s="5">
        <f>10000-5000</f>
        <v>5000</v>
      </c>
    </row>
    <row r="364" spans="1:4" ht="81" customHeight="1">
      <c r="A364" s="20" t="s">
        <v>666</v>
      </c>
      <c r="B364" s="12" t="s">
        <v>372</v>
      </c>
      <c r="C364" s="12">
        <v>600</v>
      </c>
      <c r="D364" s="5">
        <v>5000</v>
      </c>
    </row>
    <row r="365" spans="1:4" s="3" customFormat="1" ht="75">
      <c r="A365" s="23" t="s">
        <v>297</v>
      </c>
      <c r="B365" s="17" t="s">
        <v>284</v>
      </c>
      <c r="C365" s="12"/>
      <c r="D365" s="13">
        <f t="shared" ref="D365" si="39">D366</f>
        <v>12000</v>
      </c>
    </row>
    <row r="366" spans="1:4" ht="47.25" customHeight="1">
      <c r="A366" s="16" t="s">
        <v>294</v>
      </c>
      <c r="B366" s="17" t="s">
        <v>285</v>
      </c>
      <c r="C366" s="17"/>
      <c r="D366" s="13">
        <f t="shared" ref="D366" si="40">D367+D369</f>
        <v>12000</v>
      </c>
    </row>
    <row r="367" spans="1:4" ht="63" customHeight="1">
      <c r="A367" s="21" t="s">
        <v>296</v>
      </c>
      <c r="B367" s="19" t="s">
        <v>286</v>
      </c>
      <c r="C367" s="12"/>
      <c r="D367" s="14">
        <f t="shared" ref="D367" si="41">SUM(D368)</f>
        <v>10500</v>
      </c>
    </row>
    <row r="368" spans="1:4" ht="87.75" customHeight="1">
      <c r="A368" s="11" t="s">
        <v>287</v>
      </c>
      <c r="B368" s="12" t="s">
        <v>288</v>
      </c>
      <c r="C368" s="12">
        <v>200</v>
      </c>
      <c r="D368" s="5">
        <f>12000-1500</f>
        <v>10500</v>
      </c>
    </row>
    <row r="369" spans="1:4" ht="144.75" customHeight="1">
      <c r="A369" s="21" t="s">
        <v>289</v>
      </c>
      <c r="B369" s="19" t="s">
        <v>290</v>
      </c>
      <c r="C369" s="12"/>
      <c r="D369" s="14">
        <f t="shared" ref="D369" si="42">D370</f>
        <v>1500</v>
      </c>
    </row>
    <row r="370" spans="1:4" s="4" customFormat="1" ht="96.75" customHeight="1">
      <c r="A370" s="11" t="s">
        <v>295</v>
      </c>
      <c r="B370" s="12" t="s">
        <v>291</v>
      </c>
      <c r="C370" s="12">
        <v>200</v>
      </c>
      <c r="D370" s="5">
        <v>1500</v>
      </c>
    </row>
    <row r="371" spans="1:4" ht="84" customHeight="1">
      <c r="A371" s="23" t="s">
        <v>320</v>
      </c>
      <c r="B371" s="17" t="s">
        <v>323</v>
      </c>
      <c r="C371" s="17"/>
      <c r="D371" s="13">
        <f t="shared" ref="D371:D372" si="43">D372</f>
        <v>476800</v>
      </c>
    </row>
    <row r="372" spans="1:4" ht="75.75" customHeight="1">
      <c r="A372" s="23" t="s">
        <v>321</v>
      </c>
      <c r="B372" s="17" t="s">
        <v>324</v>
      </c>
      <c r="C372" s="17"/>
      <c r="D372" s="13">
        <f t="shared" si="43"/>
        <v>476800</v>
      </c>
    </row>
    <row r="373" spans="1:4" ht="52.5" customHeight="1">
      <c r="A373" s="21" t="s">
        <v>322</v>
      </c>
      <c r="B373" s="19" t="s">
        <v>325</v>
      </c>
      <c r="C373" s="19"/>
      <c r="D373" s="14">
        <f>SUM(D374:D378)</f>
        <v>476800</v>
      </c>
    </row>
    <row r="374" spans="1:4" ht="61.5" customHeight="1">
      <c r="A374" s="11" t="s">
        <v>668</v>
      </c>
      <c r="B374" s="12" t="s">
        <v>667</v>
      </c>
      <c r="C374" s="12">
        <v>200</v>
      </c>
      <c r="D374" s="5">
        <f>12000+4500</f>
        <v>16500</v>
      </c>
    </row>
    <row r="375" spans="1:4" ht="85.5" customHeight="1">
      <c r="A375" s="11" t="s">
        <v>328</v>
      </c>
      <c r="B375" s="12" t="s">
        <v>326</v>
      </c>
      <c r="C375" s="12">
        <v>200</v>
      </c>
      <c r="D375" s="5">
        <f>5000-1000</f>
        <v>4000</v>
      </c>
    </row>
    <row r="376" spans="1:4" ht="90" customHeight="1">
      <c r="A376" s="11" t="s">
        <v>329</v>
      </c>
      <c r="B376" s="12" t="s">
        <v>327</v>
      </c>
      <c r="C376" s="12">
        <v>200</v>
      </c>
      <c r="D376" s="5">
        <f>248900-20000-4400-500-1200+18450-650</f>
        <v>240600</v>
      </c>
    </row>
    <row r="377" spans="1:4" ht="84" customHeight="1">
      <c r="A377" s="11" t="s">
        <v>330</v>
      </c>
      <c r="B377" s="12" t="s">
        <v>327</v>
      </c>
      <c r="C377" s="12">
        <v>600</v>
      </c>
      <c r="D377" s="5">
        <f>133000+20000+15200+17500</f>
        <v>185700</v>
      </c>
    </row>
    <row r="378" spans="1:4" ht="101.25" customHeight="1">
      <c r="A378" s="11" t="s">
        <v>646</v>
      </c>
      <c r="B378" s="12" t="s">
        <v>645</v>
      </c>
      <c r="C378" s="12">
        <v>200</v>
      </c>
      <c r="D378" s="5">
        <f>13000+7000+10000</f>
        <v>30000</v>
      </c>
    </row>
    <row r="379" spans="1:4" ht="49.5" customHeight="1">
      <c r="A379" s="23" t="s">
        <v>359</v>
      </c>
      <c r="B379" s="17" t="s">
        <v>360</v>
      </c>
      <c r="C379" s="12"/>
      <c r="D379" s="13">
        <f t="shared" ref="D379" si="44">D380</f>
        <v>7812351.3400000008</v>
      </c>
    </row>
    <row r="380" spans="1:4" s="4" customFormat="1" ht="94.5" customHeight="1">
      <c r="A380" s="16" t="s">
        <v>339</v>
      </c>
      <c r="B380" s="17" t="s">
        <v>119</v>
      </c>
      <c r="C380" s="17"/>
      <c r="D380" s="13">
        <f>SUM(D381:D397)</f>
        <v>7812351.3400000008</v>
      </c>
    </row>
    <row r="381" spans="1:4" s="4" customFormat="1" ht="123" customHeight="1">
      <c r="A381" s="20" t="s">
        <v>209</v>
      </c>
      <c r="B381" s="12" t="s">
        <v>120</v>
      </c>
      <c r="C381" s="12">
        <v>100</v>
      </c>
      <c r="D381" s="5">
        <f>1763223.87+40113.34</f>
        <v>1803337.2100000002</v>
      </c>
    </row>
    <row r="382" spans="1:4" s="4" customFormat="1" ht="81.75" customHeight="1">
      <c r="A382" s="20" t="s">
        <v>210</v>
      </c>
      <c r="B382" s="12" t="s">
        <v>120</v>
      </c>
      <c r="C382" s="12">
        <v>200</v>
      </c>
      <c r="D382" s="5">
        <f>391446+4950</f>
        <v>396396</v>
      </c>
    </row>
    <row r="383" spans="1:4" ht="63.75" customHeight="1">
      <c r="A383" s="20" t="s">
        <v>211</v>
      </c>
      <c r="B383" s="12" t="s">
        <v>120</v>
      </c>
      <c r="C383" s="12">
        <v>800</v>
      </c>
      <c r="D383" s="5">
        <v>1000</v>
      </c>
    </row>
    <row r="384" spans="1:4" ht="117.75" customHeight="1">
      <c r="A384" s="20" t="s">
        <v>212</v>
      </c>
      <c r="B384" s="12" t="s">
        <v>121</v>
      </c>
      <c r="C384" s="12">
        <v>100</v>
      </c>
      <c r="D384" s="5">
        <v>48000</v>
      </c>
    </row>
    <row r="385" spans="1:4" ht="120.75" customHeight="1">
      <c r="A385" s="20" t="s">
        <v>134</v>
      </c>
      <c r="B385" s="12" t="s">
        <v>122</v>
      </c>
      <c r="C385" s="12">
        <v>100</v>
      </c>
      <c r="D385" s="5">
        <f>1733718.73-38087.62+38087.62+39442.1</f>
        <v>1773160.83</v>
      </c>
    </row>
    <row r="386" spans="1:4" ht="83.25" customHeight="1">
      <c r="A386" s="20" t="s">
        <v>213</v>
      </c>
      <c r="B386" s="12" t="s">
        <v>122</v>
      </c>
      <c r="C386" s="12">
        <v>200</v>
      </c>
      <c r="D386" s="5">
        <f>325252.15+365.38+2495.21+4054.82+9500-10000-8000+10753.8</f>
        <v>334421.36000000004</v>
      </c>
    </row>
    <row r="387" spans="1:4" ht="93.75">
      <c r="A387" s="20" t="s">
        <v>135</v>
      </c>
      <c r="B387" s="12" t="s">
        <v>123</v>
      </c>
      <c r="C387" s="12">
        <v>100</v>
      </c>
      <c r="D387" s="5">
        <f>1173254.33+26691.53+10637.13</f>
        <v>1210582.99</v>
      </c>
    </row>
    <row r="388" spans="1:4" ht="143.25" customHeight="1">
      <c r="A388" s="20" t="s">
        <v>427</v>
      </c>
      <c r="B388" s="12" t="s">
        <v>428</v>
      </c>
      <c r="C388" s="12">
        <v>100</v>
      </c>
      <c r="D388" s="5">
        <f>251709.41+43854.59+15384+7266</f>
        <v>318214</v>
      </c>
    </row>
    <row r="389" spans="1:4" ht="120.75" customHeight="1">
      <c r="A389" s="11" t="s">
        <v>136</v>
      </c>
      <c r="B389" s="12" t="s">
        <v>128</v>
      </c>
      <c r="C389" s="12">
        <v>100</v>
      </c>
      <c r="D389" s="5">
        <f>1672614.96+38051.99</f>
        <v>1710666.95</v>
      </c>
    </row>
    <row r="390" spans="1:4" ht="1.5" hidden="1" customHeight="1">
      <c r="A390" s="11" t="s">
        <v>429</v>
      </c>
      <c r="B390" s="12" t="s">
        <v>430</v>
      </c>
      <c r="C390" s="12">
        <v>100</v>
      </c>
      <c r="D390" s="5">
        <v>0</v>
      </c>
    </row>
    <row r="391" spans="1:4" ht="116.25" customHeight="1">
      <c r="A391" s="11" t="s">
        <v>487</v>
      </c>
      <c r="B391" s="12" t="s">
        <v>488</v>
      </c>
      <c r="C391" s="12">
        <v>200</v>
      </c>
      <c r="D391" s="5">
        <v>3600</v>
      </c>
    </row>
    <row r="392" spans="1:4" ht="153.75" customHeight="1">
      <c r="A392" s="11" t="s">
        <v>429</v>
      </c>
      <c r="B392" s="12" t="s">
        <v>430</v>
      </c>
      <c r="C392" s="12">
        <v>100</v>
      </c>
      <c r="D392" s="5">
        <f>44246.65+2661.35+2467+1118</f>
        <v>50493</v>
      </c>
    </row>
    <row r="393" spans="1:4" ht="153.75" customHeight="1">
      <c r="A393" s="11" t="s">
        <v>431</v>
      </c>
      <c r="B393" s="12" t="s">
        <v>432</v>
      </c>
      <c r="C393" s="12">
        <v>100</v>
      </c>
      <c r="D393" s="5">
        <f>44246.65+2661.35+2467+1118</f>
        <v>50493</v>
      </c>
    </row>
    <row r="394" spans="1:4" ht="156" customHeight="1">
      <c r="A394" s="11" t="s">
        <v>433</v>
      </c>
      <c r="B394" s="12" t="s">
        <v>434</v>
      </c>
      <c r="C394" s="12">
        <v>100</v>
      </c>
      <c r="D394" s="5">
        <f>44246.65+2661.35+2467+1118</f>
        <v>50493</v>
      </c>
    </row>
    <row r="395" spans="1:4" ht="145.5" customHeight="1">
      <c r="A395" s="11" t="s">
        <v>435</v>
      </c>
      <c r="B395" s="12" t="s">
        <v>436</v>
      </c>
      <c r="C395" s="12">
        <v>100</v>
      </c>
      <c r="D395" s="5">
        <f>44246.65+2661.35+2467+1118</f>
        <v>50493</v>
      </c>
    </row>
    <row r="396" spans="1:4" ht="84" customHeight="1">
      <c r="A396" s="11" t="s">
        <v>516</v>
      </c>
      <c r="B396" s="12" t="s">
        <v>514</v>
      </c>
      <c r="C396" s="12">
        <v>300</v>
      </c>
      <c r="D396" s="5">
        <v>5000</v>
      </c>
    </row>
    <row r="397" spans="1:4" ht="75" customHeight="1">
      <c r="A397" s="11" t="s">
        <v>517</v>
      </c>
      <c r="B397" s="12" t="s">
        <v>515</v>
      </c>
      <c r="C397" s="12">
        <v>300</v>
      </c>
      <c r="D397" s="5">
        <v>6000</v>
      </c>
    </row>
    <row r="398" spans="1:4" ht="70.5" customHeight="1">
      <c r="A398" s="23" t="s">
        <v>361</v>
      </c>
      <c r="B398" s="17" t="s">
        <v>362</v>
      </c>
      <c r="C398" s="12"/>
      <c r="D398" s="13">
        <f t="shared" ref="D398" si="45">D399</f>
        <v>7894037.0899999999</v>
      </c>
    </row>
    <row r="399" spans="1:4" ht="77.25" customHeight="1">
      <c r="A399" s="16" t="s">
        <v>299</v>
      </c>
      <c r="B399" s="17" t="s">
        <v>300</v>
      </c>
      <c r="C399" s="17"/>
      <c r="D399" s="13">
        <f>SUM(D400:D441)</f>
        <v>7894037.0899999999</v>
      </c>
    </row>
    <row r="400" spans="1:4" ht="51.75" customHeight="1">
      <c r="A400" s="20" t="s">
        <v>471</v>
      </c>
      <c r="B400" s="12" t="s">
        <v>470</v>
      </c>
      <c r="C400" s="12">
        <v>200</v>
      </c>
      <c r="D400" s="5">
        <f>845313.97+40457.65+5186.06</f>
        <v>890957.68</v>
      </c>
    </row>
    <row r="401" spans="1:4" ht="33" customHeight="1">
      <c r="A401" s="20" t="s">
        <v>518</v>
      </c>
      <c r="B401" s="12" t="s">
        <v>470</v>
      </c>
      <c r="C401" s="12">
        <v>800</v>
      </c>
      <c r="D401" s="5">
        <v>30000</v>
      </c>
    </row>
    <row r="402" spans="1:4" ht="105" customHeight="1">
      <c r="A402" s="20" t="s">
        <v>382</v>
      </c>
      <c r="B402" s="12" t="s">
        <v>331</v>
      </c>
      <c r="C402" s="12">
        <v>500</v>
      </c>
      <c r="D402" s="5">
        <f>171903.31+30410.97</f>
        <v>202314.28</v>
      </c>
    </row>
    <row r="403" spans="1:4" ht="123" customHeight="1">
      <c r="A403" s="32" t="s">
        <v>519</v>
      </c>
      <c r="B403" s="12" t="s">
        <v>520</v>
      </c>
      <c r="C403" s="12">
        <v>500</v>
      </c>
      <c r="D403" s="5">
        <v>1958.8</v>
      </c>
    </row>
    <row r="404" spans="1:4" ht="172.5" customHeight="1">
      <c r="A404" s="32" t="s">
        <v>521</v>
      </c>
      <c r="B404" s="12" t="s">
        <v>522</v>
      </c>
      <c r="C404" s="12">
        <v>500</v>
      </c>
      <c r="D404" s="5">
        <v>8247.2000000000007</v>
      </c>
    </row>
    <row r="405" spans="1:4" ht="76.5" customHeight="1">
      <c r="A405" s="32" t="s">
        <v>523</v>
      </c>
      <c r="B405" s="12" t="s">
        <v>524</v>
      </c>
      <c r="C405" s="12">
        <v>500</v>
      </c>
      <c r="D405" s="5">
        <v>1958.8</v>
      </c>
    </row>
    <row r="406" spans="1:4" ht="105" customHeight="1">
      <c r="A406" s="32" t="s">
        <v>525</v>
      </c>
      <c r="B406" s="12" t="s">
        <v>526</v>
      </c>
      <c r="C406" s="12">
        <v>500</v>
      </c>
      <c r="D406" s="5">
        <v>1958.8</v>
      </c>
    </row>
    <row r="407" spans="1:4" ht="120.75" customHeight="1">
      <c r="A407" s="32" t="s">
        <v>527</v>
      </c>
      <c r="B407" s="12" t="s">
        <v>528</v>
      </c>
      <c r="C407" s="12">
        <v>500</v>
      </c>
      <c r="D407" s="5">
        <v>1958.8</v>
      </c>
    </row>
    <row r="408" spans="1:4" ht="117.75" customHeight="1">
      <c r="A408" s="32" t="s">
        <v>529</v>
      </c>
      <c r="B408" s="12" t="s">
        <v>530</v>
      </c>
      <c r="C408" s="12">
        <v>500</v>
      </c>
      <c r="D408" s="5">
        <v>1958.8</v>
      </c>
    </row>
    <row r="409" spans="1:4" ht="97.5" customHeight="1">
      <c r="A409" s="32" t="s">
        <v>531</v>
      </c>
      <c r="B409" s="12" t="s">
        <v>532</v>
      </c>
      <c r="C409" s="12">
        <v>500</v>
      </c>
      <c r="D409" s="5">
        <v>1958.8</v>
      </c>
    </row>
    <row r="410" spans="1:4" ht="97.5" customHeight="1">
      <c r="A410" s="32" t="s">
        <v>773</v>
      </c>
      <c r="B410" s="12" t="s">
        <v>771</v>
      </c>
      <c r="C410" s="12">
        <v>200</v>
      </c>
      <c r="D410" s="5">
        <v>166460</v>
      </c>
    </row>
    <row r="411" spans="1:4" ht="79.5" customHeight="1">
      <c r="A411" s="32" t="s">
        <v>774</v>
      </c>
      <c r="B411" s="12" t="s">
        <v>772</v>
      </c>
      <c r="C411" s="12">
        <v>200</v>
      </c>
      <c r="D411" s="5">
        <v>256940</v>
      </c>
    </row>
    <row r="412" spans="1:4" ht="89.25" customHeight="1">
      <c r="A412" s="32" t="s">
        <v>696</v>
      </c>
      <c r="B412" s="12" t="s">
        <v>695</v>
      </c>
      <c r="C412" s="12">
        <v>200</v>
      </c>
      <c r="D412" s="5">
        <f>873380.92+131060.74</f>
        <v>1004441.66</v>
      </c>
    </row>
    <row r="413" spans="1:4" ht="135.75" customHeight="1">
      <c r="A413" s="32" t="s">
        <v>537</v>
      </c>
      <c r="B413" s="12" t="s">
        <v>533</v>
      </c>
      <c r="C413" s="12">
        <v>100</v>
      </c>
      <c r="D413" s="5">
        <f>60000+130323.76</f>
        <v>190323.76</v>
      </c>
    </row>
    <row r="414" spans="1:4" ht="117" customHeight="1">
      <c r="A414" s="32" t="s">
        <v>538</v>
      </c>
      <c r="B414" s="12" t="s">
        <v>534</v>
      </c>
      <c r="C414" s="12">
        <v>200</v>
      </c>
      <c r="D414" s="5">
        <f>100000-10000</f>
        <v>90000</v>
      </c>
    </row>
    <row r="415" spans="1:4" ht="80.25" customHeight="1">
      <c r="A415" s="32" t="s">
        <v>692</v>
      </c>
      <c r="B415" s="12" t="s">
        <v>691</v>
      </c>
      <c r="C415" s="12">
        <v>200</v>
      </c>
      <c r="D415" s="5">
        <v>269994.76</v>
      </c>
    </row>
    <row r="416" spans="1:4" ht="80.25" customHeight="1">
      <c r="A416" s="32" t="s">
        <v>776</v>
      </c>
      <c r="B416" s="12" t="s">
        <v>775</v>
      </c>
      <c r="C416" s="12">
        <v>200</v>
      </c>
      <c r="D416" s="5">
        <v>41180</v>
      </c>
    </row>
    <row r="417" spans="1:4" ht="138" customHeight="1">
      <c r="A417" s="32" t="s">
        <v>627</v>
      </c>
      <c r="B417" s="12" t="s">
        <v>626</v>
      </c>
      <c r="C417" s="12">
        <v>800</v>
      </c>
      <c r="D417" s="5">
        <v>30000</v>
      </c>
    </row>
    <row r="418" spans="1:4" ht="129.75" customHeight="1">
      <c r="A418" s="32" t="s">
        <v>671</v>
      </c>
      <c r="B418" s="12" t="s">
        <v>669</v>
      </c>
      <c r="C418" s="12">
        <v>800</v>
      </c>
      <c r="D418" s="5">
        <v>50000</v>
      </c>
    </row>
    <row r="419" spans="1:4" ht="111.75" customHeight="1">
      <c r="A419" s="32" t="s">
        <v>672</v>
      </c>
      <c r="B419" s="12" t="s">
        <v>670</v>
      </c>
      <c r="C419" s="12">
        <v>800</v>
      </c>
      <c r="D419" s="5">
        <v>50000</v>
      </c>
    </row>
    <row r="420" spans="1:4" ht="76.5" customHeight="1">
      <c r="A420" s="32" t="s">
        <v>678</v>
      </c>
      <c r="B420" s="12" t="s">
        <v>677</v>
      </c>
      <c r="C420" s="12">
        <v>200</v>
      </c>
      <c r="D420" s="5">
        <v>36000</v>
      </c>
    </row>
    <row r="421" spans="1:4" ht="139.5" customHeight="1">
      <c r="A421" s="32" t="s">
        <v>680</v>
      </c>
      <c r="B421" s="12" t="s">
        <v>679</v>
      </c>
      <c r="C421" s="12">
        <v>800</v>
      </c>
      <c r="D421" s="5">
        <v>30000</v>
      </c>
    </row>
    <row r="422" spans="1:4" ht="137.25" customHeight="1">
      <c r="A422" s="32" t="s">
        <v>682</v>
      </c>
      <c r="B422" s="12" t="s">
        <v>681</v>
      </c>
      <c r="C422" s="12">
        <v>800</v>
      </c>
      <c r="D422" s="5">
        <v>30000</v>
      </c>
    </row>
    <row r="423" spans="1:4" ht="72" customHeight="1">
      <c r="A423" s="32" t="s">
        <v>694</v>
      </c>
      <c r="B423" s="12" t="s">
        <v>693</v>
      </c>
      <c r="C423" s="12">
        <v>800</v>
      </c>
      <c r="D423" s="5">
        <v>37500</v>
      </c>
    </row>
    <row r="424" spans="1:4" ht="87.75" customHeight="1">
      <c r="A424" s="32" t="s">
        <v>706</v>
      </c>
      <c r="B424" s="12" t="s">
        <v>705</v>
      </c>
      <c r="C424" s="12">
        <v>300</v>
      </c>
      <c r="D424" s="5">
        <v>50000</v>
      </c>
    </row>
    <row r="425" spans="1:4" ht="123" customHeight="1">
      <c r="A425" s="32" t="s">
        <v>716</v>
      </c>
      <c r="B425" s="12" t="s">
        <v>713</v>
      </c>
      <c r="C425" s="12">
        <v>100</v>
      </c>
      <c r="D425" s="5">
        <f>21700.12+43400.24</f>
        <v>65100.36</v>
      </c>
    </row>
    <row r="426" spans="1:4" ht="57" customHeight="1">
      <c r="A426" s="32" t="s">
        <v>715</v>
      </c>
      <c r="B426" s="12" t="s">
        <v>714</v>
      </c>
      <c r="C426" s="12">
        <v>800</v>
      </c>
      <c r="D426" s="5">
        <v>50000</v>
      </c>
    </row>
    <row r="427" spans="1:4" ht="198" customHeight="1">
      <c r="A427" s="32" t="s">
        <v>718</v>
      </c>
      <c r="B427" s="12" t="s">
        <v>717</v>
      </c>
      <c r="C427" s="12">
        <v>300</v>
      </c>
      <c r="D427" s="5">
        <f>100000+60000</f>
        <v>160000</v>
      </c>
    </row>
    <row r="428" spans="1:4" ht="108.75" customHeight="1">
      <c r="A428" s="32" t="s">
        <v>799</v>
      </c>
      <c r="B428" s="12" t="s">
        <v>723</v>
      </c>
      <c r="C428" s="12">
        <v>200</v>
      </c>
      <c r="D428" s="5">
        <v>280000</v>
      </c>
    </row>
    <row r="429" spans="1:4" ht="99.75" customHeight="1">
      <c r="A429" s="32" t="s">
        <v>800</v>
      </c>
      <c r="B429" s="12" t="s">
        <v>723</v>
      </c>
      <c r="C429" s="12">
        <v>800</v>
      </c>
      <c r="D429" s="5">
        <v>6000</v>
      </c>
    </row>
    <row r="430" spans="1:4" ht="120.75" customHeight="1">
      <c r="A430" s="32" t="s">
        <v>729</v>
      </c>
      <c r="B430" s="12" t="s">
        <v>728</v>
      </c>
      <c r="C430" s="12">
        <v>800</v>
      </c>
      <c r="D430" s="5">
        <v>30000</v>
      </c>
    </row>
    <row r="431" spans="1:4" ht="120.75" customHeight="1">
      <c r="A431" s="32" t="s">
        <v>757</v>
      </c>
      <c r="B431" s="12" t="s">
        <v>756</v>
      </c>
      <c r="C431" s="12">
        <v>800</v>
      </c>
      <c r="D431" s="5">
        <v>30000</v>
      </c>
    </row>
    <row r="432" spans="1:4" ht="120.75" customHeight="1">
      <c r="A432" s="32" t="s">
        <v>759</v>
      </c>
      <c r="B432" s="12" t="s">
        <v>758</v>
      </c>
      <c r="C432" s="12">
        <v>200</v>
      </c>
      <c r="D432" s="5">
        <v>17000</v>
      </c>
    </row>
    <row r="433" spans="1:4" ht="104.25" customHeight="1">
      <c r="A433" s="32" t="s">
        <v>778</v>
      </c>
      <c r="B433" s="12" t="s">
        <v>777</v>
      </c>
      <c r="C433" s="12">
        <v>800</v>
      </c>
      <c r="D433" s="5">
        <v>50000</v>
      </c>
    </row>
    <row r="434" spans="1:4" ht="121.5" customHeight="1">
      <c r="A434" s="32" t="s">
        <v>780</v>
      </c>
      <c r="B434" s="12" t="s">
        <v>779</v>
      </c>
      <c r="C434" s="12">
        <v>800</v>
      </c>
      <c r="D434" s="5">
        <v>50000</v>
      </c>
    </row>
    <row r="435" spans="1:4" ht="124.5" customHeight="1">
      <c r="A435" s="32" t="s">
        <v>782</v>
      </c>
      <c r="B435" s="12" t="s">
        <v>781</v>
      </c>
      <c r="C435" s="12">
        <v>800</v>
      </c>
      <c r="D435" s="5">
        <v>30000</v>
      </c>
    </row>
    <row r="436" spans="1:4" ht="124.5" customHeight="1">
      <c r="A436" s="32" t="s">
        <v>797</v>
      </c>
      <c r="B436" s="12" t="s">
        <v>796</v>
      </c>
      <c r="C436" s="12">
        <v>800</v>
      </c>
      <c r="D436" s="5">
        <v>30000</v>
      </c>
    </row>
    <row r="437" spans="1:4" ht="104.25" customHeight="1">
      <c r="A437" s="32" t="s">
        <v>731</v>
      </c>
      <c r="B437" s="12" t="s">
        <v>730</v>
      </c>
      <c r="C437" s="12">
        <v>100</v>
      </c>
      <c r="D437" s="5">
        <v>1171800</v>
      </c>
    </row>
    <row r="438" spans="1:4" ht="54.75" customHeight="1">
      <c r="A438" s="20" t="s">
        <v>333</v>
      </c>
      <c r="B438" s="12" t="s">
        <v>332</v>
      </c>
      <c r="C438" s="12">
        <v>300</v>
      </c>
      <c r="D438" s="5">
        <f>1902599.33+315375.19+36761.23</f>
        <v>2254735.75</v>
      </c>
    </row>
    <row r="439" spans="1:4" ht="102" customHeight="1">
      <c r="A439" s="20" t="s">
        <v>410</v>
      </c>
      <c r="B439" s="12" t="s">
        <v>298</v>
      </c>
      <c r="C439" s="12">
        <v>200</v>
      </c>
      <c r="D439" s="5">
        <v>81855.62</v>
      </c>
    </row>
    <row r="440" spans="1:4" ht="156.75" customHeight="1">
      <c r="A440" s="20" t="s">
        <v>563</v>
      </c>
      <c r="B440" s="12" t="s">
        <v>562</v>
      </c>
      <c r="C440" s="12">
        <v>200</v>
      </c>
      <c r="D440" s="5">
        <v>101433.22</v>
      </c>
    </row>
    <row r="441" spans="1:4" ht="46.5" customHeight="1">
      <c r="A441" s="20" t="s">
        <v>536</v>
      </c>
      <c r="B441" s="12" t="s">
        <v>535</v>
      </c>
      <c r="C441" s="12">
        <v>800</v>
      </c>
      <c r="D441" s="5">
        <v>10000</v>
      </c>
    </row>
    <row r="442" spans="1:4" ht="38.25" customHeight="1">
      <c r="A442" s="27" t="s">
        <v>351</v>
      </c>
      <c r="B442" s="28"/>
      <c r="C442" s="29"/>
      <c r="D442" s="13">
        <f>D27+D136+D211+D267+D288+D305+D309+D320+D351+D365+D371+D380+D399</f>
        <v>525517902.51999992</v>
      </c>
    </row>
    <row r="443" spans="1:4">
      <c r="A443" s="8"/>
      <c r="B443" s="9"/>
      <c r="C443" s="10"/>
      <c r="D443" s="31" t="s">
        <v>579</v>
      </c>
    </row>
    <row r="444" spans="1:4">
      <c r="A444" s="6"/>
      <c r="B444" s="6"/>
      <c r="C444" s="7"/>
    </row>
    <row r="445" spans="1:4" s="4" customFormat="1">
      <c r="A445" s="6"/>
      <c r="B445" s="6"/>
      <c r="C445" s="7"/>
    </row>
    <row r="446" spans="1:4">
      <c r="A446" s="6"/>
      <c r="B446" s="6"/>
      <c r="C446" s="7"/>
    </row>
    <row r="447" spans="1:4">
      <c r="A447" s="6"/>
      <c r="B447" s="6"/>
      <c r="C447" s="7"/>
    </row>
    <row r="448" spans="1:4">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2023-12-26T06:25:16Z</dcterms:modified>
</cp:coreProperties>
</file>