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293" i="1"/>
  <c r="D292"/>
  <c r="D241" l="1"/>
  <c r="D230"/>
  <c r="D229"/>
  <c r="D189"/>
  <c r="D157"/>
  <c r="D119"/>
  <c r="D73"/>
  <c r="D46"/>
  <c r="D34"/>
  <c r="D159" l="1"/>
  <c r="D318" l="1"/>
  <c r="D256"/>
  <c r="D255"/>
  <c r="D214"/>
  <c r="D172"/>
  <c r="D168"/>
  <c r="D105"/>
  <c r="D91"/>
  <c r="D129" l="1"/>
  <c r="D128"/>
  <c r="D313" l="1"/>
  <c r="D309"/>
  <c r="D312"/>
  <c r="D158" l="1"/>
  <c r="D291" l="1"/>
  <c r="D270"/>
  <c r="D269"/>
  <c r="D268" s="1"/>
  <c r="D232"/>
  <c r="D173"/>
  <c r="D350" l="1"/>
  <c r="D349"/>
  <c r="D98"/>
  <c r="D97"/>
  <c r="D87"/>
  <c r="D84"/>
  <c r="D82"/>
  <c r="D80"/>
  <c r="D79"/>
  <c r="D56"/>
  <c r="D45"/>
  <c r="D162" l="1"/>
  <c r="D161" l="1"/>
  <c r="D32"/>
  <c r="D33"/>
  <c r="D296" l="1"/>
  <c r="D213"/>
  <c r="D154"/>
  <c r="D153"/>
  <c r="D132"/>
  <c r="D122"/>
  <c r="D90"/>
  <c r="D88"/>
  <c r="D75"/>
  <c r="D74"/>
  <c r="D47" l="1"/>
  <c r="D369" l="1"/>
  <c r="D362"/>
  <c r="D360"/>
  <c r="D358"/>
  <c r="D354"/>
  <c r="D317"/>
  <c r="D305"/>
  <c r="D289"/>
  <c r="D233"/>
  <c r="D228" s="1"/>
  <c r="D146"/>
  <c r="D143"/>
  <c r="D137"/>
  <c r="D311" l="1"/>
  <c r="D353"/>
  <c r="D115"/>
  <c r="D114"/>
  <c r="D59"/>
  <c r="D212" l="1"/>
  <c r="D195"/>
  <c r="D184"/>
  <c r="D76"/>
  <c r="D254" l="1"/>
  <c r="D252" s="1"/>
  <c r="D48" l="1"/>
  <c r="D152" l="1"/>
  <c r="D150" s="1"/>
  <c r="D319"/>
  <c r="D308"/>
  <c r="D199"/>
  <c r="D164"/>
  <c r="D37"/>
  <c r="D188" l="1"/>
  <c r="D187" s="1"/>
  <c r="D298" l="1"/>
  <c r="D81" l="1"/>
  <c r="D83"/>
  <c r="D368" l="1"/>
  <c r="D303" l="1"/>
  <c r="D194"/>
  <c r="D136"/>
  <c r="D202"/>
  <c r="D200" s="1"/>
  <c r="D86"/>
  <c r="D351" l="1"/>
  <c r="D332" l="1"/>
  <c r="D222"/>
  <c r="D323"/>
  <c r="D316"/>
  <c r="D280"/>
  <c r="D302" l="1"/>
  <c r="D315"/>
  <c r="D279"/>
  <c r="D176"/>
  <c r="D118" l="1"/>
  <c r="D55"/>
  <c r="D117" l="1"/>
  <c r="D179" l="1"/>
  <c r="D178" s="1"/>
  <c r="D126"/>
  <c r="D145" l="1"/>
  <c r="D144" l="1"/>
  <c r="D165"/>
  <c r="D134" l="1"/>
  <c r="D125" s="1"/>
  <c r="D121" l="1"/>
  <c r="D120" l="1"/>
  <c r="D78" l="1"/>
  <c r="D276" l="1"/>
  <c r="D238"/>
  <c r="D217" l="1"/>
  <c r="D216" s="1"/>
  <c r="D367" l="1"/>
  <c r="D348"/>
  <c r="D344"/>
  <c r="D341"/>
  <c r="D337"/>
  <c r="D335"/>
  <c r="D331"/>
  <c r="D327"/>
  <c r="D322"/>
  <c r="D307"/>
  <c r="D294"/>
  <c r="D290"/>
  <c r="D288"/>
  <c r="D284"/>
  <c r="D273"/>
  <c r="D263"/>
  <c r="D259"/>
  <c r="D251"/>
  <c r="D246"/>
  <c r="D237"/>
  <c r="D227"/>
  <c r="D210"/>
  <c r="D207"/>
  <c r="D204"/>
  <c r="D198"/>
  <c r="D183"/>
  <c r="D174"/>
  <c r="D170"/>
  <c r="D163"/>
  <c r="D142"/>
  <c r="D124"/>
  <c r="D113"/>
  <c r="D109"/>
  <c r="D102"/>
  <c r="D99"/>
  <c r="D95"/>
  <c r="D44"/>
  <c r="D43" s="1"/>
  <c r="D40"/>
  <c r="D31"/>
  <c r="D169" l="1"/>
  <c r="D148"/>
  <c r="D186"/>
  <c r="D197"/>
  <c r="D343"/>
  <c r="D352"/>
  <c r="D203"/>
  <c r="D209"/>
  <c r="D262"/>
  <c r="D340"/>
  <c r="D141"/>
  <c r="D206"/>
  <c r="D245"/>
  <c r="D258"/>
  <c r="D283"/>
  <c r="D182"/>
  <c r="D321"/>
  <c r="D112"/>
  <c r="D330"/>
  <c r="D326"/>
  <c r="D221"/>
  <c r="D101"/>
  <c r="D108"/>
  <c r="D347"/>
  <c r="D135"/>
  <c r="D267"/>
  <c r="D94"/>
  <c r="D306"/>
  <c r="D30"/>
  <c r="D334"/>
  <c r="D287"/>
  <c r="D272"/>
  <c r="D85"/>
  <c r="D185" l="1"/>
  <c r="D123"/>
  <c r="D286"/>
  <c r="D271"/>
  <c r="D244"/>
  <c r="D333"/>
  <c r="D220"/>
  <c r="D320"/>
  <c r="D339"/>
  <c r="D29"/>
  <c r="D346"/>
  <c r="D266"/>
  <c r="D386" l="1"/>
</calcChain>
</file>

<file path=xl/sharedStrings.xml><?xml version="1.0" encoding="utf-8"?>
<sst xmlns="http://schemas.openxmlformats.org/spreadsheetml/2006/main" count="740" uniqueCount="691">
  <si>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</si>
  <si>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</si>
  <si>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</si>
  <si>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</si>
  <si>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</si>
  <si>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</si>
  <si>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</si>
  <si>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</si>
  <si>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</si>
  <si>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</si>
  <si>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</si>
  <si>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</si>
  <si>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</si>
  <si>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</si>
  <si>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</si>
  <si>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</si>
  <si>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</si>
  <si>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</si>
  <si>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</si>
  <si>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</si>
  <si>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</si>
  <si>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</si>
  <si>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</si>
  <si>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</si>
  <si>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</si>
  <si>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</si>
  <si>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</si>
  <si>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</si>
  <si>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</si>
  <si>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</si>
  <si>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</si>
  <si>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</si>
  <si>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</si>
  <si>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</si>
  <si>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</si>
  <si>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</si>
  <si>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</si>
  <si>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</si>
  <si>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</si>
  <si>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</si>
  <si>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</si>
  <si>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</si>
  <si>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</si>
  <si>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</si>
  <si>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</si>
  <si>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</si>
  <si>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</si>
  <si>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</si>
  <si>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</si>
  <si>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</si>
  <si>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</si>
  <si>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</si>
  <si>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</si>
  <si>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</si>
  <si>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</si>
  <si>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</si>
  <si>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</si>
  <si>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</si>
  <si>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</si>
  <si>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</si>
  <si>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</si>
  <si>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</si>
  <si>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</si>
  <si>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</si>
  <si>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</si>
  <si>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</si>
  <si>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</si>
  <si>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</si>
  <si>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</si>
  <si>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</si>
  <si>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</si>
  <si>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</si>
  <si>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</si>
  <si>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</si>
  <si>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</si>
  <si>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</si>
  <si>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</si>
  <si>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</si>
  <si>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</si>
  <si>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</si>
  <si>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</si>
  <si>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</si>
  <si>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</si>
  <si>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</si>
  <si>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</si>
  <si>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</si>
  <si>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</si>
  <si>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</si>
  <si>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</si>
  <si>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</si>
  <si>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</si>
  <si>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</si>
  <si>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</si>
  <si>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</si>
  <si>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</si>
  <si>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</si>
  <si>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</si>
  <si>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</si>
  <si>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</si>
  <si>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</si>
  <si>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</si>
  <si>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</si>
  <si>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</si>
  <si>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</si>
  <si>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</si>
  <si>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</si>
  <si>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</si>
  <si>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</si>
  <si>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</si>
  <si>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</si>
  <si>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</si>
  <si>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</si>
  <si>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</si>
  <si>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</si>
  <si>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</si>
  <si>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</si>
  <si>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</si>
  <si>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</si>
  <si>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</si>
  <si>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</si>
  <si>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</si>
  <si>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</si>
  <si>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</si>
  <si>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</si>
  <si>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</si>
  <si>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</si>
  <si>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</si>
  <si>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</si>
  <si>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</si>
  <si>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</si>
  <si>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</si>
  <si>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</si>
  <si>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</si>
  <si>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</si>
  <si>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</si>
  <si>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</si>
  <si>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</si>
  <si>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</si>
  <si>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</si>
  <si>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</si>
  <si>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</si>
  <si>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</si>
  <si>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</si>
  <si>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</si>
  <si>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</si>
  <si>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</si>
  <si>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</si>
  <si>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</si>
  <si>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</si>
  <si>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</si>
  <si>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</si>
  <si>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</si>
  <si>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</si>
  <si>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</si>
  <si>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</si>
  <si>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</si>
  <si>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</si>
  <si>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</si>
  <si>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</si>
  <si>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</si>
  <si>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</si>
  <si>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</si>
  <si>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</si>
  <si>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</si>
  <si>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</si>
  <si>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</si>
  <si>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</si>
  <si>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</si>
  <si>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</si>
  <si>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</si>
  <si>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</si>
  <si>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</si>
  <si>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</si>
  <si>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</si>
  <si>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</si>
  <si>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</si>
  <si>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</si>
  <si>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</si>
  <si>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</si>
  <si>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</si>
  <si>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</si>
  <si>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</si>
  <si>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</si>
  <si>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</si>
  <si>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</si>
  <si>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</si>
  <si>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</si>
  <si>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</si>
  <si>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</si>
  <si>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</si>
  <si>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</si>
  <si>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</si>
  <si>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</si>
  <si>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</si>
  <si>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</si>
  <si>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</si>
  <si>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</si>
  <si>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</si>
  <si>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</si>
  <si>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</si>
  <si>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</si>
  <si>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</si>
  <si>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</si>
  <si>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</si>
  <si>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</si>
  <si>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</si>
  <si>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</si>
  <si>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</si>
  <si>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</si>
  <si>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</si>
  <si>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</si>
  <si>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</si>
  <si>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</si>
  <si>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</si>
  <si>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</si>
  <si>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</si>
  <si>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</si>
  <si>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</si>
  <si>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</si>
  <si>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</si>
  <si>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</si>
  <si>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</si>
  <si>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</si>
  <si>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</si>
  <si>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</si>
  <si>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</si>
  <si>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</si>
  <si>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</si>
  <si>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</si>
  <si>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</si>
  <si>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</si>
  <si>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</si>
  <si>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</si>
  <si>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</si>
  <si>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</si>
  <si>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</si>
  <si>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</si>
  <si>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</si>
  <si>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</si>
  <si>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</si>
  <si>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</si>
  <si>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</si>
  <si>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</si>
  <si>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</si>
  <si>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</si>
  <si>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</si>
  <si>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</si>
  <si>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</si>
  <si>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</si>
  <si>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</si>
  <si>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</si>
  <si>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</si>
  <si>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</si>
  <si>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</si>
  <si>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</si>
  <si>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</si>
  <si>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</si>
  <si>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</si>
  <si>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</si>
  <si>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</si>
  <si>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</si>
  <si>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</si>
  <si>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</si>
  <si>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</si>
  <si>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</si>
  <si>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</si>
  <si>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</si>
  <si>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</si>
  <si>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</si>
  <si>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</si>
  <si>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</si>
  <si>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</si>
  <si>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</si>
  <si>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</si>
  <si>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</si>
  <si>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</si>
  <si>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</si>
  <si>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</si>
  <si>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</si>
  <si>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</si>
  <si>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</si>
  <si>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</si>
  <si>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</si>
  <si>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</si>
  <si>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</si>
  <si>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</si>
  <si>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</si>
  <si>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</si>
  <si>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</si>
  <si>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</si>
  <si>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</si>
  <si>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</si>
  <si>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</si>
  <si>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</si>
  <si>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</si>
  <si>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</si>
  <si>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</si>
  <si>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</si>
  <si>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</si>
  <si>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</si>
  <si>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</si>
  <si>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</si>
  <si>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</si>
  <si>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</si>
  <si>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</si>
  <si>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</si>
  <si>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</si>
  <si>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</si>
  <si>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</si>
  <si>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</si>
  <si>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</si>
  <si>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</si>
  <si>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</si>
  <si>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</si>
  <si>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</si>
  <si>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</si>
  <si>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</si>
  <si>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</si>
  <si>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</si>
  <si>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</si>
  <si>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</si>
  <si>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</si>
  <si>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</si>
  <si>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</si>
  <si>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</si>
  <si>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</si>
  <si>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</si>
  <si>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</si>
  <si>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</si>
  <si>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</si>
  <si>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</si>
  <si>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</si>
  <si>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</si>
  <si>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</si>
  <si>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</si>
  <si>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</si>
  <si>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</si>
  <si>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</si>
  <si>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</si>
  <si>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</si>
  <si>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</si>
  <si>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</si>
  <si>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</si>
  <si>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</si>
  <si>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</si>
  <si>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</si>
  <si>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</si>
  <si>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</si>
  <si>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</si>
  <si>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</si>
  <si>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</si>
  <si>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</si>
  <si>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</si>
  <si>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</si>
  <si>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</si>
  <si>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</si>
  <si>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</si>
  <si>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</si>
  <si>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</si>
  <si>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</si>
  <si>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</si>
  <si>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</si>
  <si>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</si>
  <si>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</si>
  <si>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</si>
  <si>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</si>
  <si>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</si>
  <si>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</si>
  <si>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</si>
  <si>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</si>
  <si>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</si>
  <si>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</si>
  <si>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</si>
  <si>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</si>
  <si>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</si>
  <si>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</si>
  <si>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</si>
  <si>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</si>
  <si>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</si>
  <si>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</si>
  <si>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</si>
  <si>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</si>
  <si>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</si>
  <si>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</si>
  <si>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</si>
  <si>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</si>
  <si>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</si>
  <si>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</si>
  <si>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</si>
  <si>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</si>
  <si>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</si>
  <si>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</si>
  <si>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</si>
  <si>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</si>
  <si>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</si>
  <si>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</si>
  <si>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</si>
  <si>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</si>
  <si>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</si>
  <si>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</si>
  <si>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</si>
  <si>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</si>
  <si>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</si>
  <si>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</si>
  <si>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</si>
  <si>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</si>
  <si>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</si>
  <si>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</si>
  <si>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</si>
  <si>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</si>
  <si>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</si>
  <si>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</si>
  <si>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</si>
  <si>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</si>
  <si>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</si>
  <si>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</si>
  <si>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</si>
  <si>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</si>
  <si>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</si>
  <si>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</si>
  <si>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</si>
  <si>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</si>
  <si>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</si>
  <si>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</si>
  <si>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</si>
  <si>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</si>
  <si>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</si>
  <si>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</si>
  <si>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</si>
  <si>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</si>
  <si>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</si>
  <si>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</si>
  <si>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</si>
  <si>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</si>
  <si>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</si>
  <si>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</si>
  <si>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</si>
  <si>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</si>
  <si>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</si>
  <si>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</si>
  <si>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</si>
  <si>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</si>
  <si>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</si>
  <si>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</si>
  <si>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</si>
  <si>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</si>
  <si>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</si>
  <si>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</si>
  <si>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</si>
  <si>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</si>
  <si>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</si>
  <si>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</si>
  <si>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</si>
  <si>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</si>
  <si>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</si>
  <si>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</si>
  <si>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</si>
  <si>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</si>
  <si>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</si>
  <si>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</si>
  <si>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</si>
  <si>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</si>
  <si>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</si>
  <si>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</si>
  <si>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</si>
  <si>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</si>
  <si>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</si>
  <si>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</si>
  <si>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</si>
  <si>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</si>
  <si>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</si>
  <si>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</si>
  <si>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</si>
  <si>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</si>
  <si>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</si>
  <si>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</si>
  <si>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</si>
  <si>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</si>
  <si>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</si>
  <si>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</si>
  <si>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</si>
  <si>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</si>
  <si>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</si>
  <si>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</si>
  <si>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</si>
  <si>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</si>
  <si>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</si>
  <si>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</si>
  <si>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</si>
  <si>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</si>
  <si>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</si>
  <si>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</si>
  <si>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</si>
  <si>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</si>
  <si>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</si>
  <si>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</si>
  <si>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</si>
  <si>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</si>
  <si>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</si>
  <si>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</si>
  <si>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</si>
  <si>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</si>
  <si>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</si>
  <si>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</si>
  <si>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</si>
  <si>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</si>
  <si>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</si>
  <si>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</si>
  <si>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</si>
  <si>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</si>
  <si>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</si>
  <si>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</si>
  <si>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</si>
  <si>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</si>
  <si>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</si>
  <si>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</si>
  <si>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</si>
  <si>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</si>
  <si>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</si>
  <si>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</si>
  <si>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</si>
  <si>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</si>
  <si>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</si>
  <si>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</si>
  <si>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</si>
  <si>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</si>
  <si>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</si>
  <si>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</si>
  <si>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</si>
  <si>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</si>
  <si>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</si>
  <si>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</si>
  <si>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</si>
  <si>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</si>
  <si>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</si>
  <si>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</si>
  <si>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</si>
  <si>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</si>
  <si>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</si>
  <si>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</si>
  <si>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</si>
  <si>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</si>
  <si>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</si>
  <si>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</si>
  <si>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</si>
  <si>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</si>
  <si>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</si>
  <si>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</si>
  <si>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</si>
  <si>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</si>
  <si>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</si>
  <si>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</si>
  <si>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</si>
  <si>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</si>
  <si>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</si>
  <si>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</si>
  <si>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</si>
  <si>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</si>
  <si>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</si>
  <si>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</si>
  <si>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</si>
  <si>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</si>
  <si>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</si>
  <si>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</si>
  <si>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</si>
  <si>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</si>
  <si>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</si>
  <si>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</si>
  <si>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</si>
  <si>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</si>
  <si>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</si>
  <si>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</si>
  <si>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</si>
  <si>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</si>
  <si>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</si>
  <si>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</si>
  <si>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</si>
  <si>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</si>
  <si>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</si>
  <si>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</si>
  <si>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</si>
  <si>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</si>
  <si>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</si>
  <si>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</si>
  <si>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</si>
  <si>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</si>
  <si>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</si>
  <si>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</si>
  <si>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</si>
  <si>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</si>
  <si>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</si>
  <si>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</si>
  <si>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</si>
  <si>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</si>
  <si>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</si>
  <si>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</si>
  <si>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</si>
  <si>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</si>
  <si>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</si>
  <si>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</si>
  <si>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</si>
  <si>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</si>
  <si>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</si>
  <si>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</si>
  <si>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</si>
  <si>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</si>
  <si>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</si>
  <si>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</si>
  <si>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</si>
  <si>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</si>
  <si>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</si>
  <si>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</si>
  <si>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</si>
  <si>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</si>
  <si>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</si>
  <si>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</si>
  <si>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</si>
  <si>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</si>
  <si>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</si>
  <si>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</si>
  <si>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</si>
  <si>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</si>
  <si>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</si>
  <si>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</si>
  <si>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</si>
  <si>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</si>
  <si>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</si>
  <si>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</si>
  <si>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</si>
  <si>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</si>
  <si>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</si>
  <si>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</si>
  <si>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</si>
  <si>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</si>
  <si>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</si>
  <si>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</si>
  <si>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</si>
  <si>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</si>
  <si>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</si>
  <si>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</si>
  <si>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</si>
  <si>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</si>
  <si>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</si>
  <si>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</si>
  <si>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</si>
  <si>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</si>
  <si>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</si>
  <si>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</si>
  <si>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</si>
  <si>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</si>
  <si>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</si>
  <si>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</si>
  <si>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</si>
  <si>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</si>
  <si>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</si>
  <si>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</si>
  <si>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</si>
  <si>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</si>
  <si>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</si>
  <si>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</si>
  <si>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</si>
  <si>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</si>
  <si>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</si>
  <si>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</si>
  <si>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</si>
  <si>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</si>
  <si>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</si>
  <si>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</si>
  <si>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</si>
  <si>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</si>
  <si>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</si>
  <si>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</si>
  <si>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</si>
  <si>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</si>
  <si>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</si>
  <si>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</si>
  <si>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</si>
  <si>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</si>
  <si>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</si>
  <si>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</si>
  <si>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</si>
  <si>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</si>
  <si>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</si>
  <si>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</si>
  <si>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</si>
  <si>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Приложение № 3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</si>
  <si>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</si>
  <si>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</si>
  <si>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</si>
  <si>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</si>
  <si>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от 21.05.2021 № 37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</si>
</sst>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4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685</v>
      </c>
      <c r="C1" s="37"/>
      <c r="D1" s="37"/>
    </row>
    <row r="2" spans="2:4">
      <c r="B2" s="37" t="s">
        <v>543</v>
      </c>
      <c r="C2" s="37"/>
      <c r="D2" s="37"/>
    </row>
    <row r="3" spans="2:4">
      <c r="B3" s="37" t="s">
        <v>544</v>
      </c>
      <c r="C3" s="37"/>
      <c r="D3" s="37"/>
    </row>
    <row r="4" spans="2:4">
      <c r="B4" s="37" t="s">
        <v>607</v>
      </c>
      <c r="C4" s="37"/>
      <c r="D4" s="37"/>
    </row>
    <row r="5" spans="2:4">
      <c r="B5" s="37" t="s">
        <v>608</v>
      </c>
      <c r="C5" s="37"/>
      <c r="D5" s="37"/>
    </row>
    <row r="6" spans="2:4">
      <c r="B6" s="37" t="s">
        <v>544</v>
      </c>
      <c r="C6" s="37"/>
      <c r="D6" s="37"/>
    </row>
    <row r="7" spans="2:4">
      <c r="B7" s="37" t="s">
        <v>609</v>
      </c>
      <c r="C7" s="37"/>
      <c r="D7" s="37"/>
    </row>
    <row r="8" spans="2:4">
      <c r="B8" s="37" t="s">
        <v>610</v>
      </c>
      <c r="C8" s="37"/>
      <c r="D8" s="37"/>
    </row>
    <row r="9" spans="2:4">
      <c r="B9" s="37" t="s">
        <v>546</v>
      </c>
      <c r="C9" s="37"/>
      <c r="D9" s="37"/>
    </row>
    <row r="10" spans="2:4">
      <c r="B10" s="37" t="s">
        <v>611</v>
      </c>
      <c r="C10" s="37"/>
      <c r="D10" s="37"/>
    </row>
    <row r="11" spans="2:4">
      <c r="B11" s="37" t="s">
        <v>690</v>
      </c>
      <c r="C11" s="37"/>
      <c r="D11" s="37"/>
    </row>
    <row r="13" spans="2:4">
      <c r="B13" s="37" t="s">
        <v>606</v>
      </c>
      <c r="C13" s="37"/>
      <c r="D13" s="37"/>
    </row>
    <row r="14" spans="2:4">
      <c r="B14" s="37" t="s">
        <v>543</v>
      </c>
      <c r="C14" s="37"/>
      <c r="D14" s="37"/>
    </row>
    <row r="15" spans="2:4">
      <c r="B15" s="37" t="s">
        <v>544</v>
      </c>
      <c r="C15" s="37"/>
      <c r="D15" s="37"/>
    </row>
    <row r="16" spans="2:4">
      <c r="B16" s="37" t="s">
        <v>545</v>
      </c>
      <c r="C16" s="37"/>
      <c r="D16" s="37"/>
    </row>
    <row r="17" spans="1:4">
      <c r="B17" s="37" t="s">
        <v>544</v>
      </c>
      <c r="C17" s="37"/>
      <c r="D17" s="37"/>
    </row>
    <row r="18" spans="1:4">
      <c r="B18" s="37" t="s">
        <v>546</v>
      </c>
      <c r="C18" s="37"/>
      <c r="D18" s="37"/>
    </row>
    <row r="19" spans="1:4">
      <c r="B19" s="37" t="s">
        <v>547</v>
      </c>
      <c r="C19" s="37"/>
      <c r="D19" s="37"/>
    </row>
    <row r="20" spans="1:4">
      <c r="B20" s="38" t="s">
        <v>605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542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409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D30+D43+D85+D94+D101+D108+D112+D120+D117</f>
        <v>246196616.27999997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71627679.209999993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69073021.049999997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28477991.16-400000+622133.85+263216+384587</f>
        <v>29347928.010000002</v>
      </c>
    </row>
    <row r="35" spans="1:4" ht="84.75" customHeight="1">
      <c r="A35" s="23" t="s">
        <v>412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437</v>
      </c>
      <c r="B36" s="13" t="s">
        <v>389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581</v>
      </c>
      <c r="B39" s="13" t="s">
        <v>580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D44+D55+D78+D81+D83+D76</f>
        <v>149369734.44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120614067.77000001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</f>
        <v>5656741.7300000004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11392100+220658.58+1230961.82+174.32+40850</f>
        <v>12884744.720000001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642</v>
      </c>
      <c r="B49" s="13" t="s">
        <v>643</v>
      </c>
      <c r="C49" s="13">
        <v>200</v>
      </c>
      <c r="D49" s="6">
        <v>50000</v>
      </c>
    </row>
    <row r="50" spans="1:6" ht="193.5" customHeight="1">
      <c r="A50" s="23" t="s">
        <v>669</v>
      </c>
      <c r="B50" s="34" t="s">
        <v>461</v>
      </c>
      <c r="C50" s="13">
        <v>100</v>
      </c>
      <c r="D50" s="6">
        <v>4452840</v>
      </c>
    </row>
    <row r="51" spans="1:6" ht="154.5" customHeight="1">
      <c r="A51" s="23" t="s">
        <v>670</v>
      </c>
      <c r="B51" s="34" t="s">
        <v>461</v>
      </c>
      <c r="C51" s="13">
        <v>600</v>
      </c>
      <c r="D51" s="6">
        <v>3984120</v>
      </c>
    </row>
    <row r="52" spans="1:6" ht="255.75" customHeight="1">
      <c r="A52" s="23" t="s">
        <v>390</v>
      </c>
      <c r="B52" s="13" t="s">
        <v>391</v>
      </c>
      <c r="C52" s="13">
        <v>100</v>
      </c>
      <c r="D52" s="6">
        <v>39794044</v>
      </c>
      <c r="E52" s="14"/>
    </row>
    <row r="53" spans="1:6" ht="215.25" customHeight="1">
      <c r="A53" s="23" t="s">
        <v>392</v>
      </c>
      <c r="B53" s="13" t="s">
        <v>391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393</v>
      </c>
      <c r="B54" s="13" t="s">
        <v>391</v>
      </c>
      <c r="C54" s="13">
        <v>600</v>
      </c>
      <c r="D54" s="6">
        <v>40320278</v>
      </c>
    </row>
    <row r="55" spans="1:6" s="3" customFormat="1" ht="53.25" customHeight="1">
      <c r="A55" s="21" t="s">
        <v>343</v>
      </c>
      <c r="B55" s="22" t="s">
        <v>13</v>
      </c>
      <c r="C55" s="22"/>
      <c r="D55" s="16">
        <f>SUM(D56:D75)</f>
        <v>20076868.990000002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480</v>
      </c>
      <c r="B59" s="13" t="s">
        <v>429</v>
      </c>
      <c r="C59" s="13">
        <v>200</v>
      </c>
      <c r="D59" s="6">
        <f>260000+1770</f>
        <v>261770</v>
      </c>
    </row>
    <row r="60" spans="1:6" ht="90" customHeight="1">
      <c r="A60" s="12" t="s">
        <v>441</v>
      </c>
      <c r="B60" s="13" t="s">
        <v>429</v>
      </c>
      <c r="C60" s="13">
        <v>600</v>
      </c>
      <c r="D60" s="6">
        <v>553122.17000000004</v>
      </c>
    </row>
    <row r="61" spans="1:6" ht="90" customHeight="1">
      <c r="A61" s="23" t="s">
        <v>575</v>
      </c>
      <c r="B61" s="13" t="s">
        <v>574</v>
      </c>
      <c r="C61" s="13">
        <v>200</v>
      </c>
      <c r="D61" s="6">
        <v>500000</v>
      </c>
    </row>
    <row r="62" spans="1:6" ht="88.5" customHeight="1">
      <c r="A62" s="12" t="s">
        <v>576</v>
      </c>
      <c r="B62" s="13" t="s">
        <v>577</v>
      </c>
      <c r="C62" s="13">
        <v>200</v>
      </c>
      <c r="D62" s="6">
        <v>418694</v>
      </c>
    </row>
    <row r="63" spans="1:6" ht="75" customHeight="1">
      <c r="A63" s="12" t="s">
        <v>612</v>
      </c>
      <c r="B63" s="13" t="s">
        <v>579</v>
      </c>
      <c r="C63" s="13">
        <v>200</v>
      </c>
      <c r="D63" s="6">
        <v>120000</v>
      </c>
    </row>
    <row r="64" spans="1:6" ht="88.5" customHeight="1">
      <c r="A64" s="12" t="s">
        <v>582</v>
      </c>
      <c r="B64" s="13" t="s">
        <v>579</v>
      </c>
      <c r="C64" s="13">
        <v>600</v>
      </c>
      <c r="D64" s="6">
        <v>710000</v>
      </c>
    </row>
    <row r="65" spans="1:5" ht="88.5" customHeight="1">
      <c r="A65" s="23" t="s">
        <v>573</v>
      </c>
      <c r="B65" s="13" t="s">
        <v>613</v>
      </c>
      <c r="C65" s="13">
        <v>600</v>
      </c>
      <c r="D65" s="6">
        <v>600000</v>
      </c>
    </row>
    <row r="66" spans="1:5" ht="103.5" customHeight="1">
      <c r="A66" s="12" t="s">
        <v>578</v>
      </c>
      <c r="B66" s="13" t="s">
        <v>614</v>
      </c>
      <c r="C66" s="13">
        <v>600</v>
      </c>
      <c r="D66" s="6">
        <v>418694</v>
      </c>
    </row>
    <row r="67" spans="1:5" ht="70.5" customHeight="1">
      <c r="A67" s="12" t="s">
        <v>649</v>
      </c>
      <c r="B67" s="13" t="s">
        <v>644</v>
      </c>
      <c r="C67" s="13">
        <v>600</v>
      </c>
      <c r="D67" s="6">
        <v>433016</v>
      </c>
    </row>
    <row r="68" spans="1:5" ht="90.75" customHeight="1">
      <c r="A68" s="12" t="s">
        <v>650</v>
      </c>
      <c r="B68" s="13" t="s">
        <v>645</v>
      </c>
      <c r="C68" s="13">
        <v>600</v>
      </c>
      <c r="D68" s="6">
        <v>25000</v>
      </c>
    </row>
    <row r="69" spans="1:5" ht="103.5" customHeight="1">
      <c r="A69" s="12" t="s">
        <v>647</v>
      </c>
      <c r="B69" s="13" t="s">
        <v>646</v>
      </c>
      <c r="C69" s="13">
        <v>200</v>
      </c>
      <c r="D69" s="6">
        <v>94171</v>
      </c>
    </row>
    <row r="70" spans="1:5" ht="103.5" customHeight="1">
      <c r="A70" s="12" t="s">
        <v>648</v>
      </c>
      <c r="B70" s="13" t="s">
        <v>646</v>
      </c>
      <c r="C70" s="13">
        <v>600</v>
      </c>
      <c r="D70" s="6">
        <v>376684</v>
      </c>
    </row>
    <row r="71" spans="1:5" ht="76.5" customHeight="1">
      <c r="A71" s="12" t="s">
        <v>655</v>
      </c>
      <c r="B71" s="13" t="s">
        <v>651</v>
      </c>
      <c r="C71" s="13">
        <v>600</v>
      </c>
      <c r="D71" s="6">
        <v>180000</v>
      </c>
    </row>
    <row r="72" spans="1:5" ht="97.5" customHeight="1">
      <c r="A72" s="12" t="s">
        <v>654</v>
      </c>
      <c r="B72" s="13" t="s">
        <v>652</v>
      </c>
      <c r="C72" s="13">
        <v>200</v>
      </c>
      <c r="D72" s="6">
        <v>25000</v>
      </c>
    </row>
    <row r="73" spans="1:5" ht="76.5" customHeight="1">
      <c r="A73" s="12" t="s">
        <v>661</v>
      </c>
      <c r="B73" s="13" t="s">
        <v>653</v>
      </c>
      <c r="C73" s="13">
        <v>200</v>
      </c>
      <c r="D73" s="6">
        <f>3199760-263216-437176.6</f>
        <v>2499367.4</v>
      </c>
    </row>
    <row r="74" spans="1:5" ht="84" customHeight="1">
      <c r="A74" s="12" t="s">
        <v>548</v>
      </c>
      <c r="B74" s="13" t="s">
        <v>549</v>
      </c>
      <c r="C74" s="13">
        <v>200</v>
      </c>
      <c r="D74" s="6">
        <f>28567.18+3032924.4-26422.69</f>
        <v>3035068.89</v>
      </c>
      <c r="E74" s="14"/>
    </row>
    <row r="75" spans="1:5" ht="109.5" customHeight="1">
      <c r="A75" s="12" t="s">
        <v>550</v>
      </c>
      <c r="B75" s="13" t="s">
        <v>549</v>
      </c>
      <c r="C75" s="13">
        <v>600</v>
      </c>
      <c r="D75" s="6">
        <f>44891.28+4768645.2-41519.51</f>
        <v>4772016.9700000007</v>
      </c>
    </row>
    <row r="76" spans="1:5" ht="72.75" customHeight="1">
      <c r="A76" s="24" t="s">
        <v>593</v>
      </c>
      <c r="B76" s="22" t="s">
        <v>591</v>
      </c>
      <c r="C76" s="22"/>
      <c r="D76" s="16">
        <f>D77</f>
        <v>1010101.01</v>
      </c>
    </row>
    <row r="77" spans="1:5" ht="87" customHeight="1">
      <c r="A77" s="12" t="s">
        <v>594</v>
      </c>
      <c r="B77" s="13" t="s">
        <v>592</v>
      </c>
      <c r="C77" s="13">
        <v>600</v>
      </c>
      <c r="D77" s="6">
        <v>1010101.01</v>
      </c>
    </row>
    <row r="78" spans="1:5" ht="54" customHeight="1">
      <c r="A78" s="24" t="s">
        <v>445</v>
      </c>
      <c r="B78" s="22" t="s">
        <v>446</v>
      </c>
      <c r="C78" s="22"/>
      <c r="D78" s="16">
        <f>SUM(D79:D80)</f>
        <v>3137787.6399999997</v>
      </c>
    </row>
    <row r="79" spans="1:5" ht="114" customHeight="1">
      <c r="A79" s="12" t="s">
        <v>664</v>
      </c>
      <c r="B79" s="13" t="s">
        <v>447</v>
      </c>
      <c r="C79" s="13">
        <v>200</v>
      </c>
      <c r="D79" s="6">
        <f>1127066.7-1126952.86+44.62+1568735.36</f>
        <v>1568893.82</v>
      </c>
    </row>
    <row r="80" spans="1:5" ht="114.75" customHeight="1">
      <c r="A80" s="12" t="s">
        <v>665</v>
      </c>
      <c r="B80" s="13" t="s">
        <v>447</v>
      </c>
      <c r="C80" s="13">
        <v>600</v>
      </c>
      <c r="D80" s="6">
        <f>1127066.7-1126952.87+44.63+1568735.36</f>
        <v>1568893.8199999998</v>
      </c>
    </row>
    <row r="81" spans="1:4" ht="57" customHeight="1">
      <c r="A81" s="24" t="s">
        <v>563</v>
      </c>
      <c r="B81" s="22" t="s">
        <v>564</v>
      </c>
      <c r="C81" s="22"/>
      <c r="D81" s="16">
        <f>SUM(D82)</f>
        <v>2631164.7400000002</v>
      </c>
    </row>
    <row r="82" spans="1:4" ht="111" customHeight="1">
      <c r="A82" s="12" t="s">
        <v>565</v>
      </c>
      <c r="B82" s="13" t="s">
        <v>566</v>
      </c>
      <c r="C82" s="13">
        <v>600</v>
      </c>
      <c r="D82" s="6">
        <f>22612.2-22612.2+265.75+2630898.99</f>
        <v>2631164.7400000002</v>
      </c>
    </row>
    <row r="83" spans="1:4" ht="54" customHeight="1">
      <c r="A83" s="24" t="s">
        <v>567</v>
      </c>
      <c r="B83" s="22" t="s">
        <v>568</v>
      </c>
      <c r="C83" s="22"/>
      <c r="D83" s="16">
        <f>SUM(D84:D84)</f>
        <v>1899744.2899999998</v>
      </c>
    </row>
    <row r="84" spans="1:4" ht="95.25" customHeight="1">
      <c r="A84" s="12" t="s">
        <v>603</v>
      </c>
      <c r="B84" s="13" t="s">
        <v>569</v>
      </c>
      <c r="C84" s="13">
        <v>600</v>
      </c>
      <c r="D84" s="6">
        <f>227.73+1899552.39-35.83</f>
        <v>1899744.2899999998</v>
      </c>
    </row>
    <row r="85" spans="1:4" ht="46.5" customHeight="1">
      <c r="A85" s="19" t="s">
        <v>17</v>
      </c>
      <c r="B85" s="20" t="s">
        <v>16</v>
      </c>
      <c r="C85" s="20"/>
      <c r="D85" s="15">
        <f>D86+D91</f>
        <v>14467569.130000001</v>
      </c>
    </row>
    <row r="86" spans="1:4" ht="54" customHeight="1">
      <c r="A86" s="21" t="s">
        <v>19</v>
      </c>
      <c r="B86" s="22" t="s">
        <v>18</v>
      </c>
      <c r="C86" s="22"/>
      <c r="D86" s="16">
        <f>SUM(D87:D90)</f>
        <v>13855969.130000001</v>
      </c>
    </row>
    <row r="87" spans="1:4" ht="79.5" customHeight="1">
      <c r="A87" s="23" t="s">
        <v>145</v>
      </c>
      <c r="B87" s="13" t="s">
        <v>20</v>
      </c>
      <c r="C87" s="13">
        <v>600</v>
      </c>
      <c r="D87" s="6">
        <f>9508392.37+682176.48+175831.68</f>
        <v>10366400.529999999</v>
      </c>
    </row>
    <row r="88" spans="1:4" ht="138" customHeight="1">
      <c r="A88" s="23" t="s">
        <v>551</v>
      </c>
      <c r="B88" s="13" t="s">
        <v>552</v>
      </c>
      <c r="C88" s="13">
        <v>600</v>
      </c>
      <c r="D88" s="6">
        <f>2173267.12-189.57</f>
        <v>2173077.5500000003</v>
      </c>
    </row>
    <row r="89" spans="1:4" ht="128.25" customHeight="1">
      <c r="A89" s="23" t="s">
        <v>553</v>
      </c>
      <c r="B89" s="13" t="s">
        <v>554</v>
      </c>
      <c r="C89" s="13">
        <v>600</v>
      </c>
      <c r="D89" s="6">
        <v>1300693.1599999999</v>
      </c>
    </row>
    <row r="90" spans="1:4" ht="124.5" customHeight="1">
      <c r="A90" s="23" t="s">
        <v>455</v>
      </c>
      <c r="B90" s="13" t="s">
        <v>454</v>
      </c>
      <c r="C90" s="13">
        <v>600</v>
      </c>
      <c r="D90" s="6">
        <f>5000+10608.32+189.57</f>
        <v>15797.89</v>
      </c>
    </row>
    <row r="91" spans="1:4" ht="37.5">
      <c r="A91" s="21" t="s">
        <v>362</v>
      </c>
      <c r="B91" s="22" t="s">
        <v>363</v>
      </c>
      <c r="C91" s="22"/>
      <c r="D91" s="16">
        <f>SUM(D92:D93)</f>
        <v>611600</v>
      </c>
    </row>
    <row r="92" spans="1:4" ht="93.75">
      <c r="A92" s="23" t="s">
        <v>366</v>
      </c>
      <c r="B92" s="13" t="s">
        <v>364</v>
      </c>
      <c r="C92" s="13">
        <v>600</v>
      </c>
      <c r="D92" s="6">
        <v>151600</v>
      </c>
    </row>
    <row r="93" spans="1:4" ht="131.25">
      <c r="A93" s="23" t="s">
        <v>672</v>
      </c>
      <c r="B93" s="13" t="s">
        <v>671</v>
      </c>
      <c r="C93" s="13">
        <v>600</v>
      </c>
      <c r="D93" s="6">
        <v>460000</v>
      </c>
    </row>
    <row r="94" spans="1:4" s="4" customFormat="1" ht="48" customHeight="1">
      <c r="A94" s="19" t="s">
        <v>22</v>
      </c>
      <c r="B94" s="20" t="s">
        <v>21</v>
      </c>
      <c r="C94" s="20"/>
      <c r="D94" s="15">
        <f>D95+D99</f>
        <v>827597</v>
      </c>
    </row>
    <row r="95" spans="1:4" s="3" customFormat="1" ht="51.75" customHeight="1">
      <c r="A95" s="21" t="s">
        <v>169</v>
      </c>
      <c r="B95" s="22" t="s">
        <v>23</v>
      </c>
      <c r="C95" s="22"/>
      <c r="D95" s="16">
        <f>SUM(D96:D98)</f>
        <v>776777</v>
      </c>
    </row>
    <row r="96" spans="1:4" ht="75">
      <c r="A96" s="23" t="s">
        <v>430</v>
      </c>
      <c r="B96" s="13" t="s">
        <v>25</v>
      </c>
      <c r="C96" s="13">
        <v>600</v>
      </c>
      <c r="D96" s="6">
        <v>22100</v>
      </c>
    </row>
    <row r="97" spans="1:4" s="4" customFormat="1" ht="75">
      <c r="A97" s="23" t="s">
        <v>427</v>
      </c>
      <c r="B97" s="13" t="s">
        <v>24</v>
      </c>
      <c r="C97" s="13">
        <v>200</v>
      </c>
      <c r="D97" s="6">
        <f>311570-2030-124047</f>
        <v>185493</v>
      </c>
    </row>
    <row r="98" spans="1:4" s="3" customFormat="1" ht="75">
      <c r="A98" s="23" t="s">
        <v>428</v>
      </c>
      <c r="B98" s="13" t="s">
        <v>24</v>
      </c>
      <c r="C98" s="13">
        <v>600</v>
      </c>
      <c r="D98" s="6">
        <f>445137+124047</f>
        <v>569184</v>
      </c>
    </row>
    <row r="99" spans="1:4" ht="50.25" customHeight="1">
      <c r="A99" s="21" t="s">
        <v>164</v>
      </c>
      <c r="B99" s="22" t="s">
        <v>26</v>
      </c>
      <c r="C99" s="22"/>
      <c r="D99" s="16">
        <f t="shared" ref="D99" si="0">D100</f>
        <v>50820</v>
      </c>
    </row>
    <row r="100" spans="1:4" ht="110.25" customHeight="1">
      <c r="A100" s="23" t="s">
        <v>165</v>
      </c>
      <c r="B100" s="13" t="s">
        <v>27</v>
      </c>
      <c r="C100" s="13">
        <v>200</v>
      </c>
      <c r="D100" s="6">
        <v>50820</v>
      </c>
    </row>
    <row r="101" spans="1:4" ht="31.5" customHeight="1">
      <c r="A101" s="19" t="s">
        <v>185</v>
      </c>
      <c r="B101" s="20" t="s">
        <v>28</v>
      </c>
      <c r="C101" s="20"/>
      <c r="D101" s="15">
        <f t="shared" ref="D101" si="1">D102</f>
        <v>189590</v>
      </c>
    </row>
    <row r="102" spans="1:4" ht="45" customHeight="1">
      <c r="A102" s="21" t="s">
        <v>186</v>
      </c>
      <c r="B102" s="22" t="s">
        <v>29</v>
      </c>
      <c r="C102" s="22"/>
      <c r="D102" s="16">
        <f t="shared" ref="D102" si="2">SUM(D103:D107)</f>
        <v>189590</v>
      </c>
    </row>
    <row r="103" spans="1:4" s="3" customFormat="1" ht="123.75" customHeight="1">
      <c r="A103" s="23" t="s">
        <v>187</v>
      </c>
      <c r="B103" s="13" t="s">
        <v>30</v>
      </c>
      <c r="C103" s="13">
        <v>200</v>
      </c>
      <c r="D103" s="6">
        <v>19590</v>
      </c>
    </row>
    <row r="104" spans="1:4" ht="128.25" customHeight="1">
      <c r="A104" s="23" t="s">
        <v>373</v>
      </c>
      <c r="B104" s="13" t="s">
        <v>30</v>
      </c>
      <c r="C104" s="13">
        <v>600</v>
      </c>
      <c r="D104" s="6">
        <v>65000</v>
      </c>
    </row>
    <row r="105" spans="1:4" s="4" customFormat="1" ht="93.75" customHeight="1">
      <c r="A105" s="23" t="s">
        <v>188</v>
      </c>
      <c r="B105" s="13" t="s">
        <v>31</v>
      </c>
      <c r="C105" s="13">
        <v>200</v>
      </c>
      <c r="D105" s="6">
        <f>15000+8000-10000+60000</f>
        <v>73000</v>
      </c>
    </row>
    <row r="106" spans="1:4" s="4" customFormat="1" ht="94.5" customHeight="1">
      <c r="A106" s="23" t="s">
        <v>338</v>
      </c>
      <c r="B106" s="13" t="s">
        <v>31</v>
      </c>
      <c r="C106" s="13">
        <v>600</v>
      </c>
      <c r="D106" s="6">
        <v>22000</v>
      </c>
    </row>
    <row r="107" spans="1:4" s="4" customFormat="1" ht="93.75" customHeight="1">
      <c r="A107" s="23" t="s">
        <v>374</v>
      </c>
      <c r="B107" s="13" t="s">
        <v>369</v>
      </c>
      <c r="C107" s="13">
        <v>600</v>
      </c>
      <c r="D107" s="6">
        <v>10000</v>
      </c>
    </row>
    <row r="108" spans="1:4" s="3" customFormat="1" ht="49.5" customHeight="1">
      <c r="A108" s="25" t="s">
        <v>33</v>
      </c>
      <c r="B108" s="20" t="s">
        <v>32</v>
      </c>
      <c r="C108" s="20"/>
      <c r="D108" s="15">
        <f t="shared" ref="D108" si="3">D109</f>
        <v>50000</v>
      </c>
    </row>
    <row r="109" spans="1:4" ht="53.25" customHeight="1">
      <c r="A109" s="21" t="s">
        <v>35</v>
      </c>
      <c r="B109" s="22" t="s">
        <v>34</v>
      </c>
      <c r="C109" s="22"/>
      <c r="D109" s="16">
        <f t="shared" ref="D109" si="4">SUM(D110:D111)</f>
        <v>50000</v>
      </c>
    </row>
    <row r="110" spans="1:4" ht="111.75" customHeight="1">
      <c r="A110" s="23" t="s">
        <v>150</v>
      </c>
      <c r="B110" s="13" t="s">
        <v>36</v>
      </c>
      <c r="C110" s="13">
        <v>200</v>
      </c>
      <c r="D110" s="6">
        <v>30000</v>
      </c>
    </row>
    <row r="111" spans="1:4" ht="114.75" customHeight="1">
      <c r="A111" s="23" t="s">
        <v>147</v>
      </c>
      <c r="B111" s="13" t="s">
        <v>36</v>
      </c>
      <c r="C111" s="13">
        <v>600</v>
      </c>
      <c r="D111" s="6">
        <v>20000</v>
      </c>
    </row>
    <row r="112" spans="1:4" ht="84.75" customHeight="1">
      <c r="A112" s="19" t="s">
        <v>189</v>
      </c>
      <c r="B112" s="20" t="s">
        <v>37</v>
      </c>
      <c r="C112" s="20"/>
      <c r="D112" s="15">
        <f t="shared" ref="D112" si="5">D113</f>
        <v>9585676.9000000004</v>
      </c>
    </row>
    <row r="113" spans="1:4" s="4" customFormat="1" ht="82.5" customHeight="1">
      <c r="A113" s="21" t="s">
        <v>342</v>
      </c>
      <c r="B113" s="22" t="s">
        <v>38</v>
      </c>
      <c r="C113" s="22"/>
      <c r="D113" s="16">
        <f t="shared" ref="D113" si="6">SUM(D114:D116)</f>
        <v>9585676.9000000004</v>
      </c>
    </row>
    <row r="114" spans="1:4" s="3" customFormat="1" ht="112.5">
      <c r="A114" s="23" t="s">
        <v>134</v>
      </c>
      <c r="B114" s="13" t="s">
        <v>39</v>
      </c>
      <c r="C114" s="13">
        <v>100</v>
      </c>
      <c r="D114" s="6">
        <f>7438658.41+186176.88+38862.92</f>
        <v>7663698.21</v>
      </c>
    </row>
    <row r="115" spans="1:4" ht="83.25" customHeight="1">
      <c r="A115" s="23" t="s">
        <v>190</v>
      </c>
      <c r="B115" s="13" t="s">
        <v>39</v>
      </c>
      <c r="C115" s="13">
        <v>200</v>
      </c>
      <c r="D115" s="6">
        <f>1612443.62+287035.07</f>
        <v>1899478.6900000002</v>
      </c>
    </row>
    <row r="116" spans="1:4" ht="37.5">
      <c r="A116" s="23" t="s">
        <v>191</v>
      </c>
      <c r="B116" s="13" t="s">
        <v>39</v>
      </c>
      <c r="C116" s="13">
        <v>800</v>
      </c>
      <c r="D116" s="6">
        <v>22500</v>
      </c>
    </row>
    <row r="117" spans="1:4" ht="75">
      <c r="A117" s="19" t="s">
        <v>484</v>
      </c>
      <c r="B117" s="20" t="s">
        <v>482</v>
      </c>
      <c r="C117" s="20"/>
      <c r="D117" s="15">
        <f>D118</f>
        <v>51739.6</v>
      </c>
    </row>
    <row r="118" spans="1:4" ht="37.5">
      <c r="A118" s="21" t="s">
        <v>485</v>
      </c>
      <c r="B118" s="22" t="s">
        <v>481</v>
      </c>
      <c r="C118" s="22"/>
      <c r="D118" s="16">
        <f>D119</f>
        <v>51739.6</v>
      </c>
    </row>
    <row r="119" spans="1:4" ht="75">
      <c r="A119" s="23" t="s">
        <v>486</v>
      </c>
      <c r="B119" s="13" t="s">
        <v>483</v>
      </c>
      <c r="C119" s="13">
        <v>600</v>
      </c>
      <c r="D119" s="6">
        <f>40000+11739.6</f>
        <v>51739.6</v>
      </c>
    </row>
    <row r="120" spans="1:4" ht="75">
      <c r="A120" s="19" t="s">
        <v>448</v>
      </c>
      <c r="B120" s="20" t="s">
        <v>449</v>
      </c>
      <c r="C120" s="20"/>
      <c r="D120" s="15">
        <f>D121</f>
        <v>27030</v>
      </c>
    </row>
    <row r="121" spans="1:4" ht="75">
      <c r="A121" s="21" t="s">
        <v>450</v>
      </c>
      <c r="B121" s="22" t="s">
        <v>451</v>
      </c>
      <c r="C121" s="22"/>
      <c r="D121" s="16">
        <f>D122</f>
        <v>27030</v>
      </c>
    </row>
    <row r="122" spans="1:4" ht="75">
      <c r="A122" s="23" t="s">
        <v>453</v>
      </c>
      <c r="B122" s="13" t="s">
        <v>452</v>
      </c>
      <c r="C122" s="13">
        <v>200</v>
      </c>
      <c r="D122" s="6">
        <f>15000+10000+2030</f>
        <v>27030</v>
      </c>
    </row>
    <row r="123" spans="1:4" s="4" customFormat="1" ht="81.75" customHeight="1">
      <c r="A123" s="19" t="s">
        <v>413</v>
      </c>
      <c r="B123" s="20" t="s">
        <v>40</v>
      </c>
      <c r="C123" s="20"/>
      <c r="D123" s="15">
        <f>D124+D135+D141+D148+D169+D178+D182+D144</f>
        <v>33289813.5</v>
      </c>
    </row>
    <row r="124" spans="1:4" s="3" customFormat="1" ht="53.25" customHeight="1">
      <c r="A124" s="19" t="s">
        <v>192</v>
      </c>
      <c r="B124" s="20" t="s">
        <v>41</v>
      </c>
      <c r="C124" s="20"/>
      <c r="D124" s="15">
        <f t="shared" ref="D124" si="7">D125</f>
        <v>10340972.1</v>
      </c>
    </row>
    <row r="125" spans="1:4" s="4" customFormat="1" ht="105.75" customHeight="1">
      <c r="A125" s="24" t="s">
        <v>229</v>
      </c>
      <c r="B125" s="22" t="s">
        <v>230</v>
      </c>
      <c r="C125" s="22"/>
      <c r="D125" s="16">
        <f>SUM(D126:D134)</f>
        <v>10340972.1</v>
      </c>
    </row>
    <row r="126" spans="1:4" s="4" customFormat="1" ht="132" customHeight="1">
      <c r="A126" s="23" t="s">
        <v>476</v>
      </c>
      <c r="B126" s="13" t="s">
        <v>487</v>
      </c>
      <c r="C126" s="13">
        <v>500</v>
      </c>
      <c r="D126" s="6">
        <f>2959098.55+150000</f>
        <v>3109098.55</v>
      </c>
    </row>
    <row r="127" spans="1:4" s="3" customFormat="1" ht="106.5" customHeight="1">
      <c r="A127" s="23" t="s">
        <v>479</v>
      </c>
      <c r="B127" s="13" t="s">
        <v>488</v>
      </c>
      <c r="C127" s="13">
        <v>500</v>
      </c>
      <c r="D127" s="6">
        <v>1025066.51</v>
      </c>
    </row>
    <row r="128" spans="1:4" s="3" customFormat="1" ht="81" customHeight="1">
      <c r="A128" s="23" t="s">
        <v>620</v>
      </c>
      <c r="B128" s="13" t="s">
        <v>615</v>
      </c>
      <c r="C128" s="13">
        <v>200</v>
      </c>
      <c r="D128" s="6">
        <f>474951.81-119215.6</f>
        <v>355736.20999999996</v>
      </c>
    </row>
    <row r="129" spans="1:4" s="3" customFormat="1" ht="73.5" customHeight="1">
      <c r="A129" s="23" t="s">
        <v>621</v>
      </c>
      <c r="B129" s="13" t="s">
        <v>616</v>
      </c>
      <c r="C129" s="13">
        <v>200</v>
      </c>
      <c r="D129" s="6">
        <f>225930.21+331094.98</f>
        <v>557025.18999999994</v>
      </c>
    </row>
    <row r="130" spans="1:4" s="3" customFormat="1" ht="106.5" customHeight="1">
      <c r="A130" s="12" t="s">
        <v>622</v>
      </c>
      <c r="B130" s="13" t="s">
        <v>617</v>
      </c>
      <c r="C130" s="13">
        <v>200</v>
      </c>
      <c r="D130" s="6">
        <v>22533.75</v>
      </c>
    </row>
    <row r="131" spans="1:4" s="3" customFormat="1" ht="106.5" customHeight="1">
      <c r="A131" s="12" t="s">
        <v>623</v>
      </c>
      <c r="B131" s="13" t="s">
        <v>618</v>
      </c>
      <c r="C131" s="13">
        <v>200</v>
      </c>
      <c r="D131" s="6">
        <v>84724.78</v>
      </c>
    </row>
    <row r="132" spans="1:4" s="3" customFormat="1" ht="106.5" customHeight="1">
      <c r="A132" s="23" t="s">
        <v>624</v>
      </c>
      <c r="B132" s="13" t="s">
        <v>619</v>
      </c>
      <c r="C132" s="13">
        <v>200</v>
      </c>
      <c r="D132" s="6">
        <f>175351.8+42.13</f>
        <v>175393.93</v>
      </c>
    </row>
    <row r="133" spans="1:4" s="3" customFormat="1" ht="126" customHeight="1">
      <c r="A133" s="23" t="s">
        <v>674</v>
      </c>
      <c r="B133" s="13" t="s">
        <v>673</v>
      </c>
      <c r="C133" s="13">
        <v>200</v>
      </c>
      <c r="D133" s="6">
        <v>430000</v>
      </c>
    </row>
    <row r="134" spans="1:4" s="3" customFormat="1" ht="139.5" customHeight="1">
      <c r="A134" s="12" t="s">
        <v>457</v>
      </c>
      <c r="B134" s="13" t="s">
        <v>456</v>
      </c>
      <c r="C134" s="13">
        <v>200</v>
      </c>
      <c r="D134" s="6">
        <f>4535579.24+45813.94</f>
        <v>4581393.1800000006</v>
      </c>
    </row>
    <row r="135" spans="1:4" ht="65.25" customHeight="1">
      <c r="A135" s="19" t="s">
        <v>193</v>
      </c>
      <c r="B135" s="20" t="s">
        <v>42</v>
      </c>
      <c r="C135" s="20"/>
      <c r="D135" s="15">
        <f t="shared" ref="D135" si="8">D136</f>
        <v>256045</v>
      </c>
    </row>
    <row r="136" spans="1:4" ht="50.25" customHeight="1">
      <c r="A136" s="21" t="s">
        <v>194</v>
      </c>
      <c r="B136" s="22" t="s">
        <v>43</v>
      </c>
      <c r="C136" s="22"/>
      <c r="D136" s="16">
        <f>SUM(D137:D140)</f>
        <v>256045</v>
      </c>
    </row>
    <row r="137" spans="1:4" s="3" customFormat="1" ht="74.25" customHeight="1">
      <c r="A137" s="23" t="s">
        <v>231</v>
      </c>
      <c r="B137" s="13" t="s">
        <v>44</v>
      </c>
      <c r="C137" s="13">
        <v>200</v>
      </c>
      <c r="D137" s="6">
        <f>184021+2024</f>
        <v>186045</v>
      </c>
    </row>
    <row r="138" spans="1:4" ht="107.25" customHeight="1">
      <c r="A138" s="23" t="s">
        <v>331</v>
      </c>
      <c r="B138" s="13" t="s">
        <v>45</v>
      </c>
      <c r="C138" s="13">
        <v>200</v>
      </c>
      <c r="D138" s="6">
        <v>20000</v>
      </c>
    </row>
    <row r="139" spans="1:4" ht="105" customHeight="1">
      <c r="A139" s="23" t="s">
        <v>332</v>
      </c>
      <c r="B139" s="13" t="s">
        <v>45</v>
      </c>
      <c r="C139" s="13">
        <v>600</v>
      </c>
      <c r="D139" s="6">
        <v>20000</v>
      </c>
    </row>
    <row r="140" spans="1:4" s="4" customFormat="1" ht="72" customHeight="1">
      <c r="A140" s="23" t="s">
        <v>232</v>
      </c>
      <c r="B140" s="13" t="s">
        <v>233</v>
      </c>
      <c r="C140" s="13">
        <v>200</v>
      </c>
      <c r="D140" s="6">
        <v>30000</v>
      </c>
    </row>
    <row r="141" spans="1:4" s="3" customFormat="1" ht="94.5" customHeight="1">
      <c r="A141" s="25" t="s">
        <v>658</v>
      </c>
      <c r="B141" s="20" t="s">
        <v>46</v>
      </c>
      <c r="C141" s="20"/>
      <c r="D141" s="15">
        <f t="shared" ref="D141" si="9">D142</f>
        <v>2495743.73</v>
      </c>
    </row>
    <row r="142" spans="1:4" ht="56.25" customHeight="1">
      <c r="A142" s="21" t="s">
        <v>48</v>
      </c>
      <c r="B142" s="22" t="s">
        <v>47</v>
      </c>
      <c r="C142" s="22"/>
      <c r="D142" s="16">
        <f t="shared" ref="D142" si="10">SUM(D143:D143)</f>
        <v>2495743.73</v>
      </c>
    </row>
    <row r="143" spans="1:4" ht="99.75" customHeight="1">
      <c r="A143" s="12" t="s">
        <v>425</v>
      </c>
      <c r="B143" s="13" t="s">
        <v>426</v>
      </c>
      <c r="C143" s="13">
        <v>200</v>
      </c>
      <c r="D143" s="6">
        <f>2274000+221743.73</f>
        <v>2495743.73</v>
      </c>
    </row>
    <row r="144" spans="1:4" ht="37.5">
      <c r="A144" s="25" t="s">
        <v>471</v>
      </c>
      <c r="B144" s="20" t="s">
        <v>468</v>
      </c>
      <c r="C144" s="20"/>
      <c r="D144" s="15">
        <f>D145</f>
        <v>2044523.4</v>
      </c>
    </row>
    <row r="145" spans="1:4" ht="37.5">
      <c r="A145" s="24" t="s">
        <v>472</v>
      </c>
      <c r="B145" s="22" t="s">
        <v>469</v>
      </c>
      <c r="C145" s="22"/>
      <c r="D145" s="16">
        <f>SUM(D146:D147)</f>
        <v>2044523.4</v>
      </c>
    </row>
    <row r="146" spans="1:4" ht="56.25">
      <c r="A146" s="12" t="s">
        <v>473</v>
      </c>
      <c r="B146" s="13" t="s">
        <v>470</v>
      </c>
      <c r="C146" s="13">
        <v>200</v>
      </c>
      <c r="D146" s="6">
        <f>300000+1444523.4</f>
        <v>1744523.4</v>
      </c>
    </row>
    <row r="147" spans="1:4" ht="80.25" customHeight="1">
      <c r="A147" s="12" t="s">
        <v>571</v>
      </c>
      <c r="B147" s="13" t="s">
        <v>572</v>
      </c>
      <c r="C147" s="13">
        <v>200</v>
      </c>
      <c r="D147" s="6">
        <v>300000</v>
      </c>
    </row>
    <row r="148" spans="1:4" s="4" customFormat="1" ht="75">
      <c r="A148" s="25" t="s">
        <v>234</v>
      </c>
      <c r="B148" s="20" t="s">
        <v>235</v>
      </c>
      <c r="C148" s="13"/>
      <c r="D148" s="15">
        <f>D149+D154+D161+D163+D165+D150</f>
        <v>14415975.060000001</v>
      </c>
    </row>
    <row r="149" spans="1:4" s="3" customFormat="1" ht="37.5" hidden="1">
      <c r="A149" s="24" t="s">
        <v>236</v>
      </c>
      <c r="B149" s="22" t="s">
        <v>237</v>
      </c>
      <c r="C149" s="13"/>
      <c r="D149" s="17"/>
    </row>
    <row r="150" spans="1:4" s="3" customFormat="1" ht="37.5">
      <c r="A150" s="24" t="s">
        <v>236</v>
      </c>
      <c r="B150" s="22" t="s">
        <v>237</v>
      </c>
      <c r="C150" s="13"/>
      <c r="D150" s="16">
        <f>SUM(D151:D153)</f>
        <v>9460492.7400000002</v>
      </c>
    </row>
    <row r="151" spans="1:4" s="3" customFormat="1" ht="88.5" customHeight="1">
      <c r="A151" s="12" t="s">
        <v>687</v>
      </c>
      <c r="B151" s="13" t="s">
        <v>686</v>
      </c>
      <c r="C151" s="13">
        <v>200</v>
      </c>
      <c r="D151" s="6">
        <v>294512.61</v>
      </c>
    </row>
    <row r="152" spans="1:4" s="3" customFormat="1" ht="145.5" customHeight="1">
      <c r="A152" s="12" t="s">
        <v>656</v>
      </c>
      <c r="B152" s="13" t="s">
        <v>570</v>
      </c>
      <c r="C152" s="13">
        <v>400</v>
      </c>
      <c r="D152" s="6">
        <f>51255.76+5074320.33</f>
        <v>5125576.09</v>
      </c>
    </row>
    <row r="153" spans="1:4" s="3" customFormat="1" ht="138" customHeight="1">
      <c r="A153" s="12" t="s">
        <v>657</v>
      </c>
      <c r="B153" s="13" t="s">
        <v>586</v>
      </c>
      <c r="C153" s="13">
        <v>400</v>
      </c>
      <c r="D153" s="6">
        <f>4000000+40404.04</f>
        <v>4040404.04</v>
      </c>
    </row>
    <row r="154" spans="1:4" ht="50.25" customHeight="1">
      <c r="A154" s="24" t="s">
        <v>238</v>
      </c>
      <c r="B154" s="22" t="s">
        <v>239</v>
      </c>
      <c r="C154" s="13"/>
      <c r="D154" s="16">
        <f>SUM(D155:D160)</f>
        <v>3737073.33</v>
      </c>
    </row>
    <row r="155" spans="1:4" ht="98.25" customHeight="1">
      <c r="A155" s="12" t="s">
        <v>467</v>
      </c>
      <c r="B155" s="13" t="s">
        <v>466</v>
      </c>
      <c r="C155" s="13">
        <v>500</v>
      </c>
      <c r="D155" s="6">
        <v>651932.06000000006</v>
      </c>
    </row>
    <row r="156" spans="1:4" ht="105.75" customHeight="1">
      <c r="A156" s="12" t="s">
        <v>477</v>
      </c>
      <c r="B156" s="13" t="s">
        <v>489</v>
      </c>
      <c r="C156" s="13">
        <v>500</v>
      </c>
      <c r="D156" s="6">
        <v>400000</v>
      </c>
    </row>
    <row r="157" spans="1:4" ht="74.25" customHeight="1">
      <c r="A157" s="12" t="s">
        <v>381</v>
      </c>
      <c r="B157" s="13" t="s">
        <v>431</v>
      </c>
      <c r="C157" s="13">
        <v>200</v>
      </c>
      <c r="D157" s="6">
        <f>620000-8652.48+9000+20003.85+51556.55+835000</f>
        <v>1526907.92</v>
      </c>
    </row>
    <row r="158" spans="1:4" ht="94.5" customHeight="1">
      <c r="A158" s="12" t="s">
        <v>438</v>
      </c>
      <c r="B158" s="13" t="s">
        <v>432</v>
      </c>
      <c r="C158" s="13">
        <v>200</v>
      </c>
      <c r="D158" s="6">
        <f>415458.81+1774.54+200000</f>
        <v>617233.35</v>
      </c>
    </row>
    <row r="159" spans="1:4" ht="94.5" customHeight="1">
      <c r="A159" s="12" t="s">
        <v>676</v>
      </c>
      <c r="B159" s="13" t="s">
        <v>675</v>
      </c>
      <c r="C159" s="13">
        <v>200</v>
      </c>
      <c r="D159" s="6">
        <f>254000</f>
        <v>254000</v>
      </c>
    </row>
    <row r="160" spans="1:4" ht="94.5" customHeight="1">
      <c r="A160" s="12" t="s">
        <v>684</v>
      </c>
      <c r="B160" s="13" t="s">
        <v>679</v>
      </c>
      <c r="C160" s="13">
        <v>200</v>
      </c>
      <c r="D160" s="6">
        <v>287000</v>
      </c>
    </row>
    <row r="161" spans="1:4" ht="46.5" customHeight="1">
      <c r="A161" s="24" t="s">
        <v>240</v>
      </c>
      <c r="B161" s="22" t="s">
        <v>241</v>
      </c>
      <c r="C161" s="13"/>
      <c r="D161" s="16">
        <f>SUM(D162:D162)</f>
        <v>250000</v>
      </c>
    </row>
    <row r="162" spans="1:4" ht="91.5" customHeight="1">
      <c r="A162" s="12" t="s">
        <v>663</v>
      </c>
      <c r="B162" s="13" t="s">
        <v>662</v>
      </c>
      <c r="C162" s="13">
        <v>500</v>
      </c>
      <c r="D162" s="6">
        <f>120000+130000</f>
        <v>250000</v>
      </c>
    </row>
    <row r="163" spans="1:4" s="4" customFormat="1" ht="64.5" customHeight="1">
      <c r="A163" s="24" t="s">
        <v>319</v>
      </c>
      <c r="B163" s="22" t="s">
        <v>242</v>
      </c>
      <c r="C163" s="13"/>
      <c r="D163" s="16">
        <f t="shared" ref="D163" si="11">D164</f>
        <v>80000</v>
      </c>
    </row>
    <row r="164" spans="1:4" s="3" customFormat="1" ht="87" customHeight="1">
      <c r="A164" s="12" t="s">
        <v>320</v>
      </c>
      <c r="B164" s="13" t="s">
        <v>243</v>
      </c>
      <c r="C164" s="13">
        <v>200</v>
      </c>
      <c r="D164" s="6">
        <f>56000+24000</f>
        <v>80000</v>
      </c>
    </row>
    <row r="165" spans="1:4" s="3" customFormat="1" ht="54.75" customHeight="1">
      <c r="A165" s="24" t="s">
        <v>346</v>
      </c>
      <c r="B165" s="22" t="s">
        <v>344</v>
      </c>
      <c r="C165" s="22"/>
      <c r="D165" s="16">
        <f>SUM(D166:D168)</f>
        <v>888408.99</v>
      </c>
    </row>
    <row r="166" spans="1:4" s="3" customFormat="1" ht="68.25" customHeight="1">
      <c r="A166" s="12" t="s">
        <v>347</v>
      </c>
      <c r="B166" s="13" t="s">
        <v>345</v>
      </c>
      <c r="C166" s="13">
        <v>200</v>
      </c>
      <c r="D166" s="6">
        <v>402341.38</v>
      </c>
    </row>
    <row r="167" spans="1:4" s="3" customFormat="1" ht="92.25" customHeight="1">
      <c r="A167" s="12" t="s">
        <v>463</v>
      </c>
      <c r="B167" s="13" t="s">
        <v>462</v>
      </c>
      <c r="C167" s="13">
        <v>200</v>
      </c>
      <c r="D167" s="6">
        <v>30000</v>
      </c>
    </row>
    <row r="168" spans="1:4" s="3" customFormat="1" ht="194.25" customHeight="1">
      <c r="A168" s="12" t="s">
        <v>465</v>
      </c>
      <c r="B168" s="13" t="s">
        <v>464</v>
      </c>
      <c r="C168" s="13">
        <v>800</v>
      </c>
      <c r="D168" s="6">
        <f>240000+60000+156067.61</f>
        <v>456067.61</v>
      </c>
    </row>
    <row r="169" spans="1:4" s="3" customFormat="1" ht="81.75" customHeight="1">
      <c r="A169" s="25" t="s">
        <v>244</v>
      </c>
      <c r="B169" s="20" t="s">
        <v>245</v>
      </c>
      <c r="C169" s="13"/>
      <c r="D169" s="15">
        <f>D170+D174+D176</f>
        <v>825800</v>
      </c>
    </row>
    <row r="170" spans="1:4" ht="87.75" customHeight="1">
      <c r="A170" s="24" t="s">
        <v>246</v>
      </c>
      <c r="B170" s="22" t="s">
        <v>247</v>
      </c>
      <c r="C170" s="13"/>
      <c r="D170" s="16">
        <f t="shared" ref="D170" si="12">SUM(D171:D173)</f>
        <v>507800</v>
      </c>
    </row>
    <row r="171" spans="1:4" s="4" customFormat="1" ht="92.25" customHeight="1">
      <c r="A171" s="12" t="s">
        <v>248</v>
      </c>
      <c r="B171" s="13" t="s">
        <v>249</v>
      </c>
      <c r="C171" s="13">
        <v>200</v>
      </c>
      <c r="D171" s="6">
        <v>30000</v>
      </c>
    </row>
    <row r="172" spans="1:4" s="4" customFormat="1" ht="134.25" customHeight="1">
      <c r="A172" s="12" t="s">
        <v>250</v>
      </c>
      <c r="B172" s="13" t="s">
        <v>251</v>
      </c>
      <c r="C172" s="13">
        <v>200</v>
      </c>
      <c r="D172" s="6">
        <f>5000-1200</f>
        <v>3800</v>
      </c>
    </row>
    <row r="173" spans="1:4" s="4" customFormat="1" ht="98.25" customHeight="1">
      <c r="A173" s="12" t="s">
        <v>382</v>
      </c>
      <c r="B173" s="13" t="s">
        <v>383</v>
      </c>
      <c r="C173" s="13">
        <v>200</v>
      </c>
      <c r="D173" s="6">
        <f>262000+212000</f>
        <v>474000</v>
      </c>
    </row>
    <row r="174" spans="1:4" ht="32.25" customHeight="1">
      <c r="A174" s="26" t="s">
        <v>252</v>
      </c>
      <c r="B174" s="22" t="s">
        <v>253</v>
      </c>
      <c r="C174" s="13"/>
      <c r="D174" s="16">
        <f t="shared" ref="D174" si="13">D175</f>
        <v>300000</v>
      </c>
    </row>
    <row r="175" spans="1:4" ht="57.75" customHeight="1">
      <c r="A175" s="12" t="s">
        <v>254</v>
      </c>
      <c r="B175" s="13" t="s">
        <v>255</v>
      </c>
      <c r="C175" s="13">
        <v>800</v>
      </c>
      <c r="D175" s="6">
        <v>300000</v>
      </c>
    </row>
    <row r="176" spans="1:4" ht="138" customHeight="1">
      <c r="A176" s="24" t="s">
        <v>492</v>
      </c>
      <c r="B176" s="22" t="s">
        <v>666</v>
      </c>
      <c r="C176" s="22"/>
      <c r="D176" s="16">
        <f>D177</f>
        <v>18000</v>
      </c>
    </row>
    <row r="177" spans="1:4" ht="119.25" customHeight="1">
      <c r="A177" s="12" t="s">
        <v>493</v>
      </c>
      <c r="B177" s="13" t="s">
        <v>491</v>
      </c>
      <c r="C177" s="13">
        <v>200</v>
      </c>
      <c r="D177" s="6">
        <v>18000</v>
      </c>
    </row>
    <row r="178" spans="1:4" ht="69" customHeight="1">
      <c r="A178" s="27" t="s">
        <v>256</v>
      </c>
      <c r="B178" s="20" t="s">
        <v>257</v>
      </c>
      <c r="C178" s="13"/>
      <c r="D178" s="15">
        <f>D179</f>
        <v>1070621.4100000001</v>
      </c>
    </row>
    <row r="179" spans="1:4" ht="51.75" customHeight="1">
      <c r="A179" s="24" t="s">
        <v>258</v>
      </c>
      <c r="B179" s="22" t="s">
        <v>259</v>
      </c>
      <c r="C179" s="13"/>
      <c r="D179" s="16">
        <f>SUM(D180:D181)</f>
        <v>1070621.4100000001</v>
      </c>
    </row>
    <row r="180" spans="1:4" s="3" customFormat="1" ht="93.75" customHeight="1">
      <c r="A180" s="12" t="s">
        <v>339</v>
      </c>
      <c r="B180" s="13" t="s">
        <v>260</v>
      </c>
      <c r="C180" s="13">
        <v>200</v>
      </c>
      <c r="D180" s="6">
        <v>500000</v>
      </c>
    </row>
    <row r="181" spans="1:4" s="3" customFormat="1" ht="93.75" customHeight="1">
      <c r="A181" s="12" t="s">
        <v>478</v>
      </c>
      <c r="B181" s="13" t="s">
        <v>490</v>
      </c>
      <c r="C181" s="13">
        <v>500</v>
      </c>
      <c r="D181" s="6">
        <v>570621.41</v>
      </c>
    </row>
    <row r="182" spans="1:4" s="3" customFormat="1" ht="88.5" customHeight="1">
      <c r="A182" s="25" t="s">
        <v>375</v>
      </c>
      <c r="B182" s="20" t="s">
        <v>370</v>
      </c>
      <c r="C182" s="20"/>
      <c r="D182" s="15">
        <f t="shared" ref="D182:D183" si="14">D183</f>
        <v>1840132.8000000003</v>
      </c>
    </row>
    <row r="183" spans="1:4" s="3" customFormat="1" ht="84.75" customHeight="1">
      <c r="A183" s="24" t="s">
        <v>376</v>
      </c>
      <c r="B183" s="22" t="s">
        <v>371</v>
      </c>
      <c r="C183" s="22"/>
      <c r="D183" s="16">
        <f t="shared" si="14"/>
        <v>1840132.8000000003</v>
      </c>
    </row>
    <row r="184" spans="1:4" s="3" customFormat="1" ht="109.5" customHeight="1">
      <c r="A184" s="12" t="s">
        <v>377</v>
      </c>
      <c r="B184" s="13" t="s">
        <v>372</v>
      </c>
      <c r="C184" s="13">
        <v>400</v>
      </c>
      <c r="D184" s="6">
        <f>2760199.2-920066.4</f>
        <v>1840132.8000000003</v>
      </c>
    </row>
    <row r="185" spans="1:4" ht="69" customHeight="1">
      <c r="A185" s="19" t="s">
        <v>199</v>
      </c>
      <c r="B185" s="20" t="s">
        <v>49</v>
      </c>
      <c r="C185" s="20"/>
      <c r="D185" s="15">
        <f>D186+D197+D203+D206+D209+D216+D212</f>
        <v>26579223.009999998</v>
      </c>
    </row>
    <row r="186" spans="1:4" ht="46.5" customHeight="1">
      <c r="A186" s="19" t="s">
        <v>200</v>
      </c>
      <c r="B186" s="20" t="s">
        <v>50</v>
      </c>
      <c r="C186" s="20"/>
      <c r="D186" s="15">
        <f>D187+D194</f>
        <v>19197971.68</v>
      </c>
    </row>
    <row r="187" spans="1:4" s="4" customFormat="1" ht="47.25" customHeight="1">
      <c r="A187" s="21" t="s">
        <v>52</v>
      </c>
      <c r="B187" s="22" t="s">
        <v>51</v>
      </c>
      <c r="C187" s="22"/>
      <c r="D187" s="16">
        <f>SUM(D188:D193)</f>
        <v>14367951.680000002</v>
      </c>
    </row>
    <row r="188" spans="1:4" s="3" customFormat="1" ht="112.5">
      <c r="A188" s="23" t="s">
        <v>135</v>
      </c>
      <c r="B188" s="13" t="s">
        <v>53</v>
      </c>
      <c r="C188" s="13">
        <v>100</v>
      </c>
      <c r="D188" s="6">
        <f>10655316.89+204277.41</f>
        <v>10859594.300000001</v>
      </c>
    </row>
    <row r="189" spans="1:4" ht="73.5" customHeight="1">
      <c r="A189" s="23" t="s">
        <v>151</v>
      </c>
      <c r="B189" s="13" t="s">
        <v>53</v>
      </c>
      <c r="C189" s="13">
        <v>200</v>
      </c>
      <c r="D189" s="6">
        <f>2190211.6+47630.63+51000-19020+105000</f>
        <v>2374822.23</v>
      </c>
    </row>
    <row r="190" spans="1:4" s="3" customFormat="1" ht="52.5" customHeight="1">
      <c r="A190" s="23" t="s">
        <v>148</v>
      </c>
      <c r="B190" s="13" t="s">
        <v>53</v>
      </c>
      <c r="C190" s="13">
        <v>800</v>
      </c>
      <c r="D190" s="6">
        <v>13600</v>
      </c>
    </row>
    <row r="191" spans="1:4" ht="118.5" customHeight="1">
      <c r="A191" s="23" t="s">
        <v>136</v>
      </c>
      <c r="B191" s="13" t="s">
        <v>54</v>
      </c>
      <c r="C191" s="13">
        <v>100</v>
      </c>
      <c r="D191" s="6">
        <v>456267.15</v>
      </c>
    </row>
    <row r="192" spans="1:4" ht="80.25" customHeight="1">
      <c r="A192" s="23" t="s">
        <v>152</v>
      </c>
      <c r="B192" s="13" t="s">
        <v>54</v>
      </c>
      <c r="C192" s="13">
        <v>200</v>
      </c>
      <c r="D192" s="6">
        <v>363668</v>
      </c>
    </row>
    <row r="193" spans="1:4" ht="80.25" customHeight="1">
      <c r="A193" s="23" t="s">
        <v>583</v>
      </c>
      <c r="B193" s="13" t="s">
        <v>584</v>
      </c>
      <c r="C193" s="13">
        <v>200</v>
      </c>
      <c r="D193" s="6">
        <v>300000</v>
      </c>
    </row>
    <row r="194" spans="1:4" ht="67.5" customHeight="1">
      <c r="A194" s="21" t="s">
        <v>536</v>
      </c>
      <c r="B194" s="22" t="s">
        <v>537</v>
      </c>
      <c r="C194" s="13"/>
      <c r="D194" s="16">
        <f>SUM(D195:D196)</f>
        <v>4830020</v>
      </c>
    </row>
    <row r="195" spans="1:4" ht="147" customHeight="1">
      <c r="A195" s="23" t="s">
        <v>556</v>
      </c>
      <c r="B195" s="13" t="s">
        <v>555</v>
      </c>
      <c r="C195" s="13">
        <v>100</v>
      </c>
      <c r="D195" s="6">
        <f>4546380+233640</f>
        <v>4780020</v>
      </c>
    </row>
    <row r="196" spans="1:4" ht="162" customHeight="1">
      <c r="A196" s="23" t="s">
        <v>538</v>
      </c>
      <c r="B196" s="13" t="s">
        <v>539</v>
      </c>
      <c r="C196" s="13">
        <v>100</v>
      </c>
      <c r="D196" s="6">
        <v>50000</v>
      </c>
    </row>
    <row r="197" spans="1:4" ht="50.25" customHeight="1">
      <c r="A197" s="19" t="s">
        <v>56</v>
      </c>
      <c r="B197" s="20" t="s">
        <v>55</v>
      </c>
      <c r="C197" s="20"/>
      <c r="D197" s="15">
        <f>D198+D200</f>
        <v>5302477.79</v>
      </c>
    </row>
    <row r="198" spans="1:4" s="4" customFormat="1" ht="51.75" customHeight="1">
      <c r="A198" s="21" t="s">
        <v>58</v>
      </c>
      <c r="B198" s="22" t="s">
        <v>57</v>
      </c>
      <c r="C198" s="22"/>
      <c r="D198" s="16">
        <f t="shared" ref="D198" si="15">D199</f>
        <v>4061599.32</v>
      </c>
    </row>
    <row r="199" spans="1:4" s="3" customFormat="1" ht="84" customHeight="1">
      <c r="A199" s="23" t="s">
        <v>146</v>
      </c>
      <c r="B199" s="13" t="s">
        <v>59</v>
      </c>
      <c r="C199" s="13">
        <v>600</v>
      </c>
      <c r="D199" s="6">
        <f>3778883.52+51715.8+231000</f>
        <v>4061599.32</v>
      </c>
    </row>
    <row r="200" spans="1:4" s="3" customFormat="1" ht="57" customHeight="1">
      <c r="A200" s="21" t="s">
        <v>530</v>
      </c>
      <c r="B200" s="22" t="s">
        <v>531</v>
      </c>
      <c r="C200" s="13"/>
      <c r="D200" s="16">
        <f>SUM(D201:D202)</f>
        <v>1240878.47</v>
      </c>
    </row>
    <row r="201" spans="1:4" s="3" customFormat="1" ht="127.5" customHeight="1">
      <c r="A201" s="23" t="s">
        <v>558</v>
      </c>
      <c r="B201" s="13" t="s">
        <v>557</v>
      </c>
      <c r="C201" s="13">
        <v>600</v>
      </c>
      <c r="D201" s="6">
        <v>1163537</v>
      </c>
    </row>
    <row r="202" spans="1:4" s="3" customFormat="1" ht="131.25" customHeight="1">
      <c r="A202" s="23" t="s">
        <v>532</v>
      </c>
      <c r="B202" s="13" t="s">
        <v>533</v>
      </c>
      <c r="C202" s="13">
        <v>600</v>
      </c>
      <c r="D202" s="6">
        <f>75000+2341.47</f>
        <v>77341.47</v>
      </c>
    </row>
    <row r="203" spans="1:4" ht="48" customHeight="1">
      <c r="A203" s="19" t="s">
        <v>365</v>
      </c>
      <c r="B203" s="20" t="s">
        <v>60</v>
      </c>
      <c r="C203" s="20"/>
      <c r="D203" s="15">
        <f t="shared" ref="D203" si="16">D204</f>
        <v>220000</v>
      </c>
    </row>
    <row r="204" spans="1:4" s="4" customFormat="1" ht="35.25" customHeight="1">
      <c r="A204" s="21" t="s">
        <v>62</v>
      </c>
      <c r="B204" s="22" t="s">
        <v>61</v>
      </c>
      <c r="C204" s="22"/>
      <c r="D204" s="16">
        <f>SUM(D205:D205)</f>
        <v>220000</v>
      </c>
    </row>
    <row r="205" spans="1:4" s="3" customFormat="1" ht="93.75">
      <c r="A205" s="23" t="s">
        <v>378</v>
      </c>
      <c r="B205" s="13" t="s">
        <v>63</v>
      </c>
      <c r="C205" s="13">
        <v>200</v>
      </c>
      <c r="D205" s="6">
        <v>220000</v>
      </c>
    </row>
    <row r="206" spans="1:4" ht="47.25" customHeight="1">
      <c r="A206" s="19" t="s">
        <v>170</v>
      </c>
      <c r="B206" s="20" t="s">
        <v>64</v>
      </c>
      <c r="C206" s="20"/>
      <c r="D206" s="15">
        <f t="shared" ref="D206" si="17">D207</f>
        <v>50000</v>
      </c>
    </row>
    <row r="207" spans="1:4" ht="45" customHeight="1">
      <c r="A207" s="21" t="s">
        <v>201</v>
      </c>
      <c r="B207" s="22" t="s">
        <v>65</v>
      </c>
      <c r="C207" s="22"/>
      <c r="D207" s="16">
        <f t="shared" ref="D207" si="18">SUM(D208:D208)</f>
        <v>50000</v>
      </c>
    </row>
    <row r="208" spans="1:4" ht="69.75" customHeight="1">
      <c r="A208" s="23" t="s">
        <v>171</v>
      </c>
      <c r="B208" s="13" t="s">
        <v>66</v>
      </c>
      <c r="C208" s="13">
        <v>200</v>
      </c>
      <c r="D208" s="6">
        <v>50000</v>
      </c>
    </row>
    <row r="209" spans="1:4" s="3" customFormat="1" ht="74.25" customHeight="1">
      <c r="A209" s="19" t="s">
        <v>341</v>
      </c>
      <c r="B209" s="20" t="s">
        <v>67</v>
      </c>
      <c r="C209" s="20"/>
      <c r="D209" s="15">
        <f t="shared" ref="D209:D210" si="19">D210</f>
        <v>50000</v>
      </c>
    </row>
    <row r="210" spans="1:4" ht="65.25" customHeight="1">
      <c r="A210" s="21" t="s">
        <v>69</v>
      </c>
      <c r="B210" s="22" t="s">
        <v>68</v>
      </c>
      <c r="C210" s="22"/>
      <c r="D210" s="16">
        <f t="shared" si="19"/>
        <v>50000</v>
      </c>
    </row>
    <row r="211" spans="1:4" s="4" customFormat="1" ht="71.25" customHeight="1">
      <c r="A211" s="23" t="s">
        <v>153</v>
      </c>
      <c r="B211" s="13" t="s">
        <v>70</v>
      </c>
      <c r="C211" s="13">
        <v>200</v>
      </c>
      <c r="D211" s="6">
        <v>50000</v>
      </c>
    </row>
    <row r="212" spans="1:4" s="4" customFormat="1" ht="55.5" customHeight="1">
      <c r="A212" s="19" t="s">
        <v>598</v>
      </c>
      <c r="B212" s="20" t="s">
        <v>595</v>
      </c>
      <c r="C212" s="20"/>
      <c r="D212" s="15">
        <f>D213</f>
        <v>1516773.54</v>
      </c>
    </row>
    <row r="213" spans="1:4" s="4" customFormat="1" ht="55.5" customHeight="1">
      <c r="A213" s="21" t="s">
        <v>599</v>
      </c>
      <c r="B213" s="22" t="s">
        <v>596</v>
      </c>
      <c r="C213" s="22"/>
      <c r="D213" s="16">
        <f>SUM(D214:D215)</f>
        <v>1516773.54</v>
      </c>
    </row>
    <row r="214" spans="1:4" s="4" customFormat="1" ht="58.5" customHeight="1">
      <c r="A214" s="23" t="s">
        <v>660</v>
      </c>
      <c r="B214" s="13" t="s">
        <v>659</v>
      </c>
      <c r="C214" s="13">
        <v>200</v>
      </c>
      <c r="D214" s="6">
        <f>1062400+19020</f>
        <v>1081420</v>
      </c>
    </row>
    <row r="215" spans="1:4" s="4" customFormat="1" ht="71.25" customHeight="1">
      <c r="A215" s="23" t="s">
        <v>600</v>
      </c>
      <c r="B215" s="13" t="s">
        <v>597</v>
      </c>
      <c r="C215" s="13">
        <v>200</v>
      </c>
      <c r="D215" s="6">
        <v>435353.54</v>
      </c>
    </row>
    <row r="216" spans="1:4" s="3" customFormat="1" ht="53.25" customHeight="1">
      <c r="A216" s="25" t="s">
        <v>368</v>
      </c>
      <c r="B216" s="20" t="s">
        <v>261</v>
      </c>
      <c r="C216" s="13"/>
      <c r="D216" s="15">
        <f>D217</f>
        <v>242000</v>
      </c>
    </row>
    <row r="217" spans="1:4" ht="48" customHeight="1">
      <c r="A217" s="24" t="s">
        <v>262</v>
      </c>
      <c r="B217" s="22" t="s">
        <v>263</v>
      </c>
      <c r="C217" s="13"/>
      <c r="D217" s="16">
        <f>D218+D219</f>
        <v>242000</v>
      </c>
    </row>
    <row r="218" spans="1:4" ht="69.75" customHeight="1">
      <c r="A218" s="12" t="s">
        <v>434</v>
      </c>
      <c r="B218" s="13" t="s">
        <v>264</v>
      </c>
      <c r="C218" s="13">
        <v>200</v>
      </c>
      <c r="D218" s="6">
        <v>210000</v>
      </c>
    </row>
    <row r="219" spans="1:4" ht="69.75" customHeight="1">
      <c r="A219" s="12" t="s">
        <v>433</v>
      </c>
      <c r="B219" s="13" t="s">
        <v>264</v>
      </c>
      <c r="C219" s="13">
        <v>600</v>
      </c>
      <c r="D219" s="6">
        <v>32000</v>
      </c>
    </row>
    <row r="220" spans="1:4" ht="105.75" customHeight="1">
      <c r="A220" s="19" t="s">
        <v>265</v>
      </c>
      <c r="B220" s="20" t="s">
        <v>71</v>
      </c>
      <c r="C220" s="20"/>
      <c r="D220" s="15">
        <f>D221+D227+D237</f>
        <v>4216654.8499999996</v>
      </c>
    </row>
    <row r="221" spans="1:4" ht="49.5" customHeight="1">
      <c r="A221" s="19" t="s">
        <v>202</v>
      </c>
      <c r="B221" s="20" t="s">
        <v>72</v>
      </c>
      <c r="C221" s="20"/>
      <c r="D221" s="15">
        <f t="shared" ref="D221" si="20">D222</f>
        <v>137900</v>
      </c>
    </row>
    <row r="222" spans="1:4" s="4" customFormat="1" ht="66.75" customHeight="1">
      <c r="A222" s="24" t="s">
        <v>266</v>
      </c>
      <c r="B222" s="22" t="s">
        <v>267</v>
      </c>
      <c r="C222" s="22"/>
      <c r="D222" s="16">
        <f>SUM(D223:D226)</f>
        <v>137900</v>
      </c>
    </row>
    <row r="223" spans="1:4" s="3" customFormat="1" ht="78.75" customHeight="1">
      <c r="A223" s="23" t="s">
        <v>154</v>
      </c>
      <c r="B223" s="13" t="s">
        <v>268</v>
      </c>
      <c r="C223" s="13">
        <v>200</v>
      </c>
      <c r="D223" s="6">
        <v>18800</v>
      </c>
    </row>
    <row r="224" spans="1:4" ht="105.75" customHeight="1">
      <c r="A224" s="23" t="s">
        <v>155</v>
      </c>
      <c r="B224" s="13" t="s">
        <v>269</v>
      </c>
      <c r="C224" s="13">
        <v>200</v>
      </c>
      <c r="D224" s="6">
        <v>4300</v>
      </c>
    </row>
    <row r="225" spans="1:4" ht="75.75" customHeight="1">
      <c r="A225" s="23" t="s">
        <v>203</v>
      </c>
      <c r="B225" s="13" t="s">
        <v>270</v>
      </c>
      <c r="C225" s="13">
        <v>200</v>
      </c>
      <c r="D225" s="6">
        <v>104800</v>
      </c>
    </row>
    <row r="226" spans="1:4" ht="92.25" customHeight="1">
      <c r="A226" s="23" t="s">
        <v>535</v>
      </c>
      <c r="B226" s="13" t="s">
        <v>534</v>
      </c>
      <c r="C226" s="13">
        <v>200</v>
      </c>
      <c r="D226" s="6">
        <v>10000</v>
      </c>
    </row>
    <row r="227" spans="1:4" s="4" customFormat="1" ht="37.5">
      <c r="A227" s="19" t="s">
        <v>204</v>
      </c>
      <c r="B227" s="20" t="s">
        <v>73</v>
      </c>
      <c r="C227" s="20"/>
      <c r="D227" s="15">
        <f>D228</f>
        <v>3907754.8499999996</v>
      </c>
    </row>
    <row r="228" spans="1:4" s="3" customFormat="1" ht="50.25" customHeight="1">
      <c r="A228" s="24" t="s">
        <v>271</v>
      </c>
      <c r="B228" s="22" t="s">
        <v>272</v>
      </c>
      <c r="C228" s="22"/>
      <c r="D228" s="16">
        <f>SUM(D229:D236)</f>
        <v>3907754.8499999996</v>
      </c>
    </row>
    <row r="229" spans="1:4" ht="56.25">
      <c r="A229" s="23" t="s">
        <v>328</v>
      </c>
      <c r="B229" s="13" t="s">
        <v>273</v>
      </c>
      <c r="C229" s="13">
        <v>200</v>
      </c>
      <c r="D229" s="6">
        <f>90300+17000</f>
        <v>107300</v>
      </c>
    </row>
    <row r="230" spans="1:4" ht="56.25">
      <c r="A230" s="23" t="s">
        <v>435</v>
      </c>
      <c r="B230" s="13" t="s">
        <v>273</v>
      </c>
      <c r="C230" s="13">
        <v>800</v>
      </c>
      <c r="D230" s="6">
        <f>50000-23000</f>
        <v>27000</v>
      </c>
    </row>
    <row r="231" spans="1:4" ht="75">
      <c r="A231" s="12" t="s">
        <v>340</v>
      </c>
      <c r="B231" s="13" t="s">
        <v>329</v>
      </c>
      <c r="C231" s="13">
        <v>600</v>
      </c>
      <c r="D231" s="6">
        <v>190700</v>
      </c>
    </row>
    <row r="232" spans="1:4" ht="112.5">
      <c r="A232" s="12" t="s">
        <v>459</v>
      </c>
      <c r="B232" s="13" t="s">
        <v>458</v>
      </c>
      <c r="C232" s="13">
        <v>100</v>
      </c>
      <c r="D232" s="6">
        <f>2378544.83+51715.8+34100-159738.41</f>
        <v>2304622.2199999997</v>
      </c>
    </row>
    <row r="233" spans="1:4" ht="64.5" customHeight="1">
      <c r="A233" s="12" t="s">
        <v>541</v>
      </c>
      <c r="B233" s="13" t="s">
        <v>458</v>
      </c>
      <c r="C233" s="13">
        <v>200</v>
      </c>
      <c r="D233" s="6">
        <f>156000+531.62</f>
        <v>156531.62</v>
      </c>
    </row>
    <row r="234" spans="1:4" ht="45.75" customHeight="1">
      <c r="A234" s="12" t="s">
        <v>540</v>
      </c>
      <c r="B234" s="13" t="s">
        <v>458</v>
      </c>
      <c r="C234" s="13">
        <v>800</v>
      </c>
      <c r="D234" s="6">
        <v>1500</v>
      </c>
    </row>
    <row r="235" spans="1:4" ht="99.75" customHeight="1">
      <c r="A235" s="12" t="s">
        <v>682</v>
      </c>
      <c r="B235" s="13" t="s">
        <v>680</v>
      </c>
      <c r="C235" s="13">
        <v>200</v>
      </c>
      <c r="D235" s="6">
        <v>110000</v>
      </c>
    </row>
    <row r="236" spans="1:4" ht="72" customHeight="1">
      <c r="A236" s="33" t="s">
        <v>681</v>
      </c>
      <c r="B236" s="13" t="s">
        <v>683</v>
      </c>
      <c r="C236" s="13">
        <v>200</v>
      </c>
      <c r="D236" s="6">
        <v>1010101.01</v>
      </c>
    </row>
    <row r="237" spans="1:4" s="3" customFormat="1" ht="71.25" customHeight="1">
      <c r="A237" s="25" t="s">
        <v>274</v>
      </c>
      <c r="B237" s="20" t="s">
        <v>275</v>
      </c>
      <c r="C237" s="13"/>
      <c r="D237" s="15">
        <f t="shared" ref="D237" si="21">D238</f>
        <v>171000</v>
      </c>
    </row>
    <row r="238" spans="1:4" ht="66" customHeight="1">
      <c r="A238" s="24" t="s">
        <v>276</v>
      </c>
      <c r="B238" s="22" t="s">
        <v>277</v>
      </c>
      <c r="C238" s="13"/>
      <c r="D238" s="16">
        <f>SUM(D239:D243)</f>
        <v>171000</v>
      </c>
    </row>
    <row r="239" spans="1:4" s="3" customFormat="1" ht="56.25" customHeight="1">
      <c r="A239" s="12" t="s">
        <v>278</v>
      </c>
      <c r="B239" s="13" t="s">
        <v>279</v>
      </c>
      <c r="C239" s="13">
        <v>200</v>
      </c>
      <c r="D239" s="6">
        <v>10000</v>
      </c>
    </row>
    <row r="240" spans="1:4" ht="63.75" customHeight="1">
      <c r="A240" s="12" t="s">
        <v>156</v>
      </c>
      <c r="B240" s="13" t="s">
        <v>280</v>
      </c>
      <c r="C240" s="13">
        <v>200</v>
      </c>
      <c r="D240" s="6">
        <v>10000</v>
      </c>
    </row>
    <row r="241" spans="1:4" ht="85.5" customHeight="1">
      <c r="A241" s="12" t="s">
        <v>281</v>
      </c>
      <c r="B241" s="13" t="s">
        <v>282</v>
      </c>
      <c r="C241" s="13">
        <v>200</v>
      </c>
      <c r="D241" s="6">
        <f>81000+6000</f>
        <v>87000</v>
      </c>
    </row>
    <row r="242" spans="1:4" ht="51" customHeight="1">
      <c r="A242" s="12" t="s">
        <v>337</v>
      </c>
      <c r="B242" s="13" t="s">
        <v>282</v>
      </c>
      <c r="C242" s="13">
        <v>800</v>
      </c>
      <c r="D242" s="6">
        <v>20000</v>
      </c>
    </row>
    <row r="243" spans="1:4" ht="93.75">
      <c r="A243" s="12" t="s">
        <v>436</v>
      </c>
      <c r="B243" s="13" t="s">
        <v>283</v>
      </c>
      <c r="C243" s="13">
        <v>600</v>
      </c>
      <c r="D243" s="6">
        <v>44000</v>
      </c>
    </row>
    <row r="244" spans="1:4" s="4" customFormat="1" ht="66" customHeight="1">
      <c r="A244" s="19" t="s">
        <v>205</v>
      </c>
      <c r="B244" s="20" t="s">
        <v>74</v>
      </c>
      <c r="C244" s="20"/>
      <c r="D244" s="15">
        <f>D245+D251+D258+D262</f>
        <v>1500351</v>
      </c>
    </row>
    <row r="245" spans="1:4" s="3" customFormat="1" ht="49.5" customHeight="1">
      <c r="A245" s="19" t="s">
        <v>206</v>
      </c>
      <c r="B245" s="20" t="s">
        <v>75</v>
      </c>
      <c r="C245" s="20"/>
      <c r="D245" s="15">
        <f t="shared" ref="D245" si="22">D246</f>
        <v>135000</v>
      </c>
    </row>
    <row r="246" spans="1:4" ht="49.5" customHeight="1">
      <c r="A246" s="21" t="s">
        <v>207</v>
      </c>
      <c r="B246" s="22" t="s">
        <v>76</v>
      </c>
      <c r="C246" s="22"/>
      <c r="D246" s="16">
        <f t="shared" ref="D246" si="23">SUM(D247:D250)</f>
        <v>135000</v>
      </c>
    </row>
    <row r="247" spans="1:4" s="4" customFormat="1" ht="93.75">
      <c r="A247" s="12" t="s">
        <v>284</v>
      </c>
      <c r="B247" s="13" t="s">
        <v>77</v>
      </c>
      <c r="C247" s="13">
        <v>800</v>
      </c>
      <c r="D247" s="6">
        <v>45000</v>
      </c>
    </row>
    <row r="248" spans="1:4" s="4" customFormat="1" ht="93.75" customHeight="1">
      <c r="A248" s="12" t="s">
        <v>285</v>
      </c>
      <c r="B248" s="13" t="s">
        <v>78</v>
      </c>
      <c r="C248" s="13">
        <v>800</v>
      </c>
      <c r="D248" s="6">
        <v>45000</v>
      </c>
    </row>
    <row r="249" spans="1:4" s="3" customFormat="1" ht="88.5" customHeight="1">
      <c r="A249" s="12" t="s">
        <v>286</v>
      </c>
      <c r="B249" s="13" t="s">
        <v>287</v>
      </c>
      <c r="C249" s="13">
        <v>800</v>
      </c>
      <c r="D249" s="6">
        <v>20000</v>
      </c>
    </row>
    <row r="250" spans="1:4" ht="84" customHeight="1">
      <c r="A250" s="12" t="s">
        <v>288</v>
      </c>
      <c r="B250" s="13" t="s">
        <v>289</v>
      </c>
      <c r="C250" s="13">
        <v>800</v>
      </c>
      <c r="D250" s="6">
        <v>25000</v>
      </c>
    </row>
    <row r="251" spans="1:4" ht="56.25">
      <c r="A251" s="19" t="s">
        <v>208</v>
      </c>
      <c r="B251" s="20" t="s">
        <v>79</v>
      </c>
      <c r="C251" s="20"/>
      <c r="D251" s="15">
        <f t="shared" ref="D251" si="24">D252</f>
        <v>811351</v>
      </c>
    </row>
    <row r="252" spans="1:4" s="3" customFormat="1" ht="52.5" customHeight="1">
      <c r="A252" s="21" t="s">
        <v>209</v>
      </c>
      <c r="B252" s="22" t="s">
        <v>80</v>
      </c>
      <c r="C252" s="22"/>
      <c r="D252" s="16">
        <f>SUM(D253:D257)</f>
        <v>811351</v>
      </c>
    </row>
    <row r="253" spans="1:4" s="4" customFormat="1" ht="99.75" customHeight="1">
      <c r="A253" s="12" t="s">
        <v>410</v>
      </c>
      <c r="B253" s="13" t="s">
        <v>384</v>
      </c>
      <c r="C253" s="13">
        <v>200</v>
      </c>
      <c r="D253" s="6">
        <v>150000</v>
      </c>
    </row>
    <row r="254" spans="1:4" s="4" customFormat="1" ht="116.25" customHeight="1">
      <c r="A254" s="12" t="s">
        <v>386</v>
      </c>
      <c r="B254" s="13" t="s">
        <v>385</v>
      </c>
      <c r="C254" s="13">
        <v>200</v>
      </c>
      <c r="D254" s="6">
        <f>210000-3584.86</f>
        <v>206415.14</v>
      </c>
    </row>
    <row r="255" spans="1:4" s="4" customFormat="1" ht="111" customHeight="1">
      <c r="A255" s="12" t="s">
        <v>588</v>
      </c>
      <c r="B255" s="13" t="s">
        <v>587</v>
      </c>
      <c r="C255" s="13">
        <v>200</v>
      </c>
      <c r="D255" s="6">
        <f>3019.2-2983.34</f>
        <v>35.859999999999673</v>
      </c>
    </row>
    <row r="256" spans="1:4" s="4" customFormat="1" ht="96" customHeight="1">
      <c r="A256" s="12" t="s">
        <v>625</v>
      </c>
      <c r="B256" s="13" t="s">
        <v>626</v>
      </c>
      <c r="C256" s="13">
        <v>200</v>
      </c>
      <c r="D256" s="6">
        <f>51550.66+300366+2983.34</f>
        <v>354900.00000000006</v>
      </c>
    </row>
    <row r="257" spans="1:4" s="4" customFormat="1" ht="54" customHeight="1">
      <c r="A257" s="12" t="s">
        <v>442</v>
      </c>
      <c r="B257" s="13" t="s">
        <v>667</v>
      </c>
      <c r="C257" s="13">
        <v>200</v>
      </c>
      <c r="D257" s="6">
        <v>100000</v>
      </c>
    </row>
    <row r="258" spans="1:4" s="3" customFormat="1" ht="85.5" customHeight="1">
      <c r="A258" s="19" t="s">
        <v>210</v>
      </c>
      <c r="B258" s="20" t="s">
        <v>81</v>
      </c>
      <c r="C258" s="20"/>
      <c r="D258" s="15">
        <f t="shared" ref="D258" si="25">D259</f>
        <v>254000</v>
      </c>
    </row>
    <row r="259" spans="1:4" ht="50.25" customHeight="1">
      <c r="A259" s="21" t="s">
        <v>211</v>
      </c>
      <c r="B259" s="22" t="s">
        <v>82</v>
      </c>
      <c r="C259" s="22"/>
      <c r="D259" s="16">
        <f t="shared" ref="D259" si="26">SUM(D260:D261)</f>
        <v>254000</v>
      </c>
    </row>
    <row r="260" spans="1:4" ht="117" customHeight="1">
      <c r="A260" s="23" t="s">
        <v>414</v>
      </c>
      <c r="B260" s="13" t="s">
        <v>291</v>
      </c>
      <c r="C260" s="13">
        <v>200</v>
      </c>
      <c r="D260" s="6">
        <v>154000</v>
      </c>
    </row>
    <row r="261" spans="1:4" ht="76.5" customHeight="1">
      <c r="A261" s="23" t="s">
        <v>290</v>
      </c>
      <c r="B261" s="13" t="s">
        <v>330</v>
      </c>
      <c r="C261" s="13">
        <v>200</v>
      </c>
      <c r="D261" s="6">
        <v>100000</v>
      </c>
    </row>
    <row r="262" spans="1:4" s="3" customFormat="1" ht="111.75" customHeight="1">
      <c r="A262" s="25" t="s">
        <v>420</v>
      </c>
      <c r="B262" s="20" t="s">
        <v>421</v>
      </c>
      <c r="C262" s="13"/>
      <c r="D262" s="15">
        <f t="shared" ref="D262" si="27">D263</f>
        <v>300000</v>
      </c>
    </row>
    <row r="263" spans="1:4" ht="102.75" customHeight="1">
      <c r="A263" s="24" t="s">
        <v>411</v>
      </c>
      <c r="B263" s="22" t="s">
        <v>422</v>
      </c>
      <c r="C263" s="13"/>
      <c r="D263" s="16">
        <f t="shared" ref="D263" si="28">SUM(D264:D265)</f>
        <v>300000</v>
      </c>
    </row>
    <row r="264" spans="1:4" ht="94.5" customHeight="1">
      <c r="A264" s="12" t="s">
        <v>387</v>
      </c>
      <c r="B264" s="13" t="s">
        <v>423</v>
      </c>
      <c r="C264" s="13">
        <v>200</v>
      </c>
      <c r="D264" s="6">
        <v>200000</v>
      </c>
    </row>
    <row r="265" spans="1:4" ht="69.75" customHeight="1">
      <c r="A265" s="12" t="s">
        <v>388</v>
      </c>
      <c r="B265" s="13" t="s">
        <v>424</v>
      </c>
      <c r="C265" s="13">
        <v>200</v>
      </c>
      <c r="D265" s="6">
        <v>100000</v>
      </c>
    </row>
    <row r="266" spans="1:4" ht="83.25" customHeight="1">
      <c r="A266" s="19" t="s">
        <v>415</v>
      </c>
      <c r="B266" s="20" t="s">
        <v>83</v>
      </c>
      <c r="C266" s="20"/>
      <c r="D266" s="15">
        <f t="shared" ref="D266:D267" si="29">D267</f>
        <v>1110000</v>
      </c>
    </row>
    <row r="267" spans="1:4" s="4" customFormat="1" ht="66.75" customHeight="1">
      <c r="A267" s="19" t="s">
        <v>212</v>
      </c>
      <c r="B267" s="20" t="s">
        <v>84</v>
      </c>
      <c r="C267" s="20"/>
      <c r="D267" s="15">
        <f t="shared" si="29"/>
        <v>1110000</v>
      </c>
    </row>
    <row r="268" spans="1:4" s="4" customFormat="1" ht="55.5" customHeight="1">
      <c r="A268" s="21" t="s">
        <v>213</v>
      </c>
      <c r="B268" s="22" t="s">
        <v>85</v>
      </c>
      <c r="C268" s="22"/>
      <c r="D268" s="16">
        <f>SUM(D269:D270)</f>
        <v>1110000</v>
      </c>
    </row>
    <row r="269" spans="1:4" s="3" customFormat="1" ht="92.25" customHeight="1">
      <c r="A269" s="23" t="s">
        <v>214</v>
      </c>
      <c r="B269" s="13" t="s">
        <v>86</v>
      </c>
      <c r="C269" s="13">
        <v>200</v>
      </c>
      <c r="D269" s="6">
        <f>50000+160000+180000+180000</f>
        <v>570000</v>
      </c>
    </row>
    <row r="270" spans="1:4" s="3" customFormat="1" ht="92.25" customHeight="1">
      <c r="A270" s="23" t="s">
        <v>668</v>
      </c>
      <c r="B270" s="13" t="s">
        <v>86</v>
      </c>
      <c r="C270" s="13">
        <v>600</v>
      </c>
      <c r="D270" s="6">
        <f>180000+360000</f>
        <v>540000</v>
      </c>
    </row>
    <row r="271" spans="1:4" ht="103.5" customHeight="1">
      <c r="A271" s="19" t="s">
        <v>88</v>
      </c>
      <c r="B271" s="20" t="s">
        <v>87</v>
      </c>
      <c r="C271" s="20"/>
      <c r="D271" s="15">
        <f>D272+D283+D279</f>
        <v>264800</v>
      </c>
    </row>
    <row r="272" spans="1:4" ht="85.5" customHeight="1">
      <c r="A272" s="19" t="s">
        <v>161</v>
      </c>
      <c r="B272" s="20" t="s">
        <v>89</v>
      </c>
      <c r="C272" s="20"/>
      <c r="D272" s="15">
        <f t="shared" ref="D272" si="30">D273+D276</f>
        <v>50000</v>
      </c>
    </row>
    <row r="273" spans="1:4" ht="70.5" customHeight="1">
      <c r="A273" s="21" t="s">
        <v>91</v>
      </c>
      <c r="B273" s="22" t="s">
        <v>90</v>
      </c>
      <c r="C273" s="22"/>
      <c r="D273" s="16">
        <f t="shared" ref="D273" si="31">SUM(D274:D275)</f>
        <v>20000</v>
      </c>
    </row>
    <row r="274" spans="1:4" s="4" customFormat="1" ht="81.75" customHeight="1">
      <c r="A274" s="23" t="s">
        <v>157</v>
      </c>
      <c r="B274" s="13" t="s">
        <v>92</v>
      </c>
      <c r="C274" s="13">
        <v>200</v>
      </c>
      <c r="D274" s="6">
        <v>10000</v>
      </c>
    </row>
    <row r="275" spans="1:4" s="4" customFormat="1" ht="87.75" customHeight="1">
      <c r="A275" s="23" t="s">
        <v>292</v>
      </c>
      <c r="B275" s="13" t="s">
        <v>93</v>
      </c>
      <c r="C275" s="13">
        <v>200</v>
      </c>
      <c r="D275" s="6">
        <v>10000</v>
      </c>
    </row>
    <row r="276" spans="1:4" ht="67.5" customHeight="1">
      <c r="A276" s="21" t="s">
        <v>95</v>
      </c>
      <c r="B276" s="22" t="s">
        <v>94</v>
      </c>
      <c r="C276" s="22"/>
      <c r="D276" s="16">
        <f>SUM(D277:D278)</f>
        <v>30000</v>
      </c>
    </row>
    <row r="277" spans="1:4" ht="83.25" customHeight="1">
      <c r="A277" s="23" t="s">
        <v>158</v>
      </c>
      <c r="B277" s="13" t="s">
        <v>96</v>
      </c>
      <c r="C277" s="13">
        <v>200</v>
      </c>
      <c r="D277" s="6">
        <v>10000</v>
      </c>
    </row>
    <row r="278" spans="1:4" ht="84.75" customHeight="1">
      <c r="A278" s="23" t="s">
        <v>160</v>
      </c>
      <c r="B278" s="13" t="s">
        <v>96</v>
      </c>
      <c r="C278" s="13">
        <v>600</v>
      </c>
      <c r="D278" s="6">
        <v>20000</v>
      </c>
    </row>
    <row r="279" spans="1:4" ht="56.25" customHeight="1">
      <c r="A279" s="19" t="s">
        <v>494</v>
      </c>
      <c r="B279" s="20" t="s">
        <v>495</v>
      </c>
      <c r="C279" s="20"/>
      <c r="D279" s="15">
        <f>D280</f>
        <v>60000</v>
      </c>
    </row>
    <row r="280" spans="1:4" ht="72" customHeight="1">
      <c r="A280" s="21" t="s">
        <v>496</v>
      </c>
      <c r="B280" s="22" t="s">
        <v>497</v>
      </c>
      <c r="C280" s="22"/>
      <c r="D280" s="16">
        <f>SUM(D281:D282)</f>
        <v>60000</v>
      </c>
    </row>
    <row r="281" spans="1:4" ht="72.75" customHeight="1">
      <c r="A281" s="23" t="s">
        <v>500</v>
      </c>
      <c r="B281" s="13" t="s">
        <v>501</v>
      </c>
      <c r="C281" s="13">
        <v>300</v>
      </c>
      <c r="D281" s="6">
        <v>30000</v>
      </c>
    </row>
    <row r="282" spans="1:4" ht="93.75" customHeight="1">
      <c r="A282" s="23" t="s">
        <v>498</v>
      </c>
      <c r="B282" s="13" t="s">
        <v>499</v>
      </c>
      <c r="C282" s="13">
        <v>300</v>
      </c>
      <c r="D282" s="6">
        <v>30000</v>
      </c>
    </row>
    <row r="283" spans="1:4" s="3" customFormat="1" ht="128.25" customHeight="1">
      <c r="A283" s="19" t="s">
        <v>333</v>
      </c>
      <c r="B283" s="20" t="s">
        <v>97</v>
      </c>
      <c r="C283" s="20"/>
      <c r="D283" s="15">
        <f t="shared" ref="D283:D284" si="32">D284</f>
        <v>154800</v>
      </c>
    </row>
    <row r="284" spans="1:4" ht="50.25" customHeight="1">
      <c r="A284" s="21" t="s">
        <v>334</v>
      </c>
      <c r="B284" s="22" t="s">
        <v>98</v>
      </c>
      <c r="C284" s="22"/>
      <c r="D284" s="16">
        <f t="shared" si="32"/>
        <v>154800</v>
      </c>
    </row>
    <row r="285" spans="1:4" ht="144.75" customHeight="1">
      <c r="A285" s="23" t="s">
        <v>335</v>
      </c>
      <c r="B285" s="13" t="s">
        <v>99</v>
      </c>
      <c r="C285" s="13">
        <v>600</v>
      </c>
      <c r="D285" s="6">
        <v>154800</v>
      </c>
    </row>
    <row r="286" spans="1:4" ht="73.5" customHeight="1">
      <c r="A286" s="19" t="s">
        <v>215</v>
      </c>
      <c r="B286" s="20" t="s">
        <v>100</v>
      </c>
      <c r="C286" s="20"/>
      <c r="D286" s="15">
        <f>D287+D306+D302+D315</f>
        <v>57756468.710000001</v>
      </c>
    </row>
    <row r="287" spans="1:4" ht="76.5" customHeight="1">
      <c r="A287" s="19" t="s">
        <v>216</v>
      </c>
      <c r="B287" s="20" t="s">
        <v>101</v>
      </c>
      <c r="C287" s="20"/>
      <c r="D287" s="15">
        <f>D288+D290+D294+D298</f>
        <v>41857681.520000003</v>
      </c>
    </row>
    <row r="288" spans="1:4" s="4" customFormat="1" ht="63" customHeight="1">
      <c r="A288" s="21" t="s">
        <v>103</v>
      </c>
      <c r="B288" s="22" t="s">
        <v>102</v>
      </c>
      <c r="C288" s="22"/>
      <c r="D288" s="16">
        <f t="shared" ref="D288" si="33">D289</f>
        <v>1178971.75</v>
      </c>
    </row>
    <row r="289" spans="1:4" s="3" customFormat="1" ht="126" customHeight="1">
      <c r="A289" s="23" t="s">
        <v>137</v>
      </c>
      <c r="B289" s="13" t="s">
        <v>104</v>
      </c>
      <c r="C289" s="13">
        <v>100</v>
      </c>
      <c r="D289" s="6">
        <f>1167200.49+11771.26</f>
        <v>1178971.75</v>
      </c>
    </row>
    <row r="290" spans="1:4" ht="73.5" customHeight="1">
      <c r="A290" s="21" t="s">
        <v>217</v>
      </c>
      <c r="B290" s="22" t="s">
        <v>105</v>
      </c>
      <c r="C290" s="22"/>
      <c r="D290" s="16">
        <f t="shared" ref="D290" si="34">SUM(D291:D293)</f>
        <v>40149803.950000003</v>
      </c>
    </row>
    <row r="291" spans="1:4" ht="131.25">
      <c r="A291" s="23" t="s">
        <v>218</v>
      </c>
      <c r="B291" s="13" t="s">
        <v>106</v>
      </c>
      <c r="C291" s="13">
        <v>100</v>
      </c>
      <c r="D291" s="6">
        <f>3934480.07+6272273.92+6132044.27+2295998.82+18230464.6+10343.16+100+69645.22+97578.48+21149.57+71018.45+47673.21+256963.34-253916.04+228528.31+131598.01</f>
        <v>37545943.390000001</v>
      </c>
    </row>
    <row r="292" spans="1:4" s="4" customFormat="1" ht="75">
      <c r="A292" s="23" t="s">
        <v>416</v>
      </c>
      <c r="B292" s="13" t="s">
        <v>106</v>
      </c>
      <c r="C292" s="13">
        <v>200</v>
      </c>
      <c r="D292" s="6">
        <f>37203.74+566066.69+741844.42+150000+869933.02+78400+64465.15+4551.76+6466.03+512-6500+22612.2+1000+1000-19200-24254.45+1200-1752</f>
        <v>2493548.5599999996</v>
      </c>
    </row>
    <row r="293" spans="1:4" s="3" customFormat="1" ht="75">
      <c r="A293" s="23" t="s">
        <v>219</v>
      </c>
      <c r="B293" s="13" t="s">
        <v>106</v>
      </c>
      <c r="C293" s="13">
        <v>800</v>
      </c>
      <c r="D293" s="6">
        <f>2560+2000+104000+1752</f>
        <v>110312</v>
      </c>
    </row>
    <row r="294" spans="1:4" s="4" customFormat="1" ht="66" customHeight="1">
      <c r="A294" s="21" t="s">
        <v>220</v>
      </c>
      <c r="B294" s="22" t="s">
        <v>107</v>
      </c>
      <c r="C294" s="22"/>
      <c r="D294" s="16">
        <f>SUM(D295:D297)</f>
        <v>70000</v>
      </c>
    </row>
    <row r="295" spans="1:4" s="4" customFormat="1" ht="123" customHeight="1">
      <c r="A295" s="23" t="s">
        <v>221</v>
      </c>
      <c r="B295" s="13" t="s">
        <v>108</v>
      </c>
      <c r="C295" s="13">
        <v>200</v>
      </c>
      <c r="D295" s="6">
        <v>8000</v>
      </c>
    </row>
    <row r="296" spans="1:4" s="3" customFormat="1" ht="125.25" customHeight="1">
      <c r="A296" s="28" t="s">
        <v>222</v>
      </c>
      <c r="B296" s="13" t="s">
        <v>133</v>
      </c>
      <c r="C296" s="13">
        <v>200</v>
      </c>
      <c r="D296" s="6">
        <f>8000+8000+8000+30000+6500</f>
        <v>60500</v>
      </c>
    </row>
    <row r="297" spans="1:4" ht="102.75" customHeight="1">
      <c r="A297" s="23" t="s">
        <v>223</v>
      </c>
      <c r="B297" s="13" t="s">
        <v>109</v>
      </c>
      <c r="C297" s="13">
        <v>200</v>
      </c>
      <c r="D297" s="6">
        <v>1500</v>
      </c>
    </row>
    <row r="298" spans="1:4" ht="57" customHeight="1">
      <c r="A298" s="21" t="s">
        <v>111</v>
      </c>
      <c r="B298" s="22" t="s">
        <v>110</v>
      </c>
      <c r="C298" s="22"/>
      <c r="D298" s="16">
        <f>SUM(D299:D301)</f>
        <v>458905.82</v>
      </c>
    </row>
    <row r="299" spans="1:4" ht="60.75" customHeight="1">
      <c r="A299" s="23" t="s">
        <v>166</v>
      </c>
      <c r="B299" s="13" t="s">
        <v>112</v>
      </c>
      <c r="C299" s="13">
        <v>200</v>
      </c>
      <c r="D299" s="6">
        <v>11125.5</v>
      </c>
    </row>
    <row r="300" spans="1:4" ht="128.25" customHeight="1">
      <c r="A300" s="23" t="s">
        <v>167</v>
      </c>
      <c r="B300" s="13" t="s">
        <v>113</v>
      </c>
      <c r="C300" s="13">
        <v>100</v>
      </c>
      <c r="D300" s="6">
        <v>391181.08</v>
      </c>
    </row>
    <row r="301" spans="1:4" ht="90.75" customHeight="1">
      <c r="A301" s="23" t="s">
        <v>168</v>
      </c>
      <c r="B301" s="13" t="s">
        <v>113</v>
      </c>
      <c r="C301" s="13">
        <v>200</v>
      </c>
      <c r="D301" s="6">
        <v>56599.24</v>
      </c>
    </row>
    <row r="302" spans="1:4" ht="123" customHeight="1">
      <c r="A302" s="25" t="s">
        <v>502</v>
      </c>
      <c r="B302" s="20" t="s">
        <v>503</v>
      </c>
      <c r="C302" s="20"/>
      <c r="D302" s="15">
        <f>D303</f>
        <v>5398090.6899999995</v>
      </c>
    </row>
    <row r="303" spans="1:4" ht="97.5" customHeight="1">
      <c r="A303" s="21" t="s">
        <v>504</v>
      </c>
      <c r="B303" s="22" t="s">
        <v>505</v>
      </c>
      <c r="C303" s="13"/>
      <c r="D303" s="16">
        <f>SUM(D304:D305)</f>
        <v>5398090.6899999995</v>
      </c>
    </row>
    <row r="304" spans="1:4" ht="97.5" customHeight="1">
      <c r="A304" s="23" t="s">
        <v>559</v>
      </c>
      <c r="B304" s="13" t="s">
        <v>560</v>
      </c>
      <c r="C304" s="13">
        <v>600</v>
      </c>
      <c r="D304" s="6">
        <v>1547608</v>
      </c>
    </row>
    <row r="305" spans="1:4" ht="97.5" customHeight="1">
      <c r="A305" s="23" t="s">
        <v>506</v>
      </c>
      <c r="B305" s="13" t="s">
        <v>507</v>
      </c>
      <c r="C305" s="13">
        <v>600</v>
      </c>
      <c r="D305" s="6">
        <f>3827395.46+23087.23</f>
        <v>3850482.69</v>
      </c>
    </row>
    <row r="306" spans="1:4" ht="56.25">
      <c r="A306" s="25" t="s">
        <v>293</v>
      </c>
      <c r="B306" s="20" t="s">
        <v>294</v>
      </c>
      <c r="C306" s="20"/>
      <c r="D306" s="15">
        <f t="shared" ref="D306" si="35">D307+D311</f>
        <v>712459</v>
      </c>
    </row>
    <row r="307" spans="1:4" ht="51.75" customHeight="1">
      <c r="A307" s="24" t="s">
        <v>295</v>
      </c>
      <c r="B307" s="22" t="s">
        <v>296</v>
      </c>
      <c r="C307" s="22"/>
      <c r="D307" s="16">
        <f t="shared" ref="D307" si="36">SUM(D308:D310)</f>
        <v>220404</v>
      </c>
    </row>
    <row r="308" spans="1:4" s="3" customFormat="1" ht="95.25" customHeight="1">
      <c r="A308" s="12" t="s">
        <v>297</v>
      </c>
      <c r="B308" s="13" t="s">
        <v>298</v>
      </c>
      <c r="C308" s="13">
        <v>200</v>
      </c>
      <c r="D308" s="6">
        <f>40450+100000</f>
        <v>140450</v>
      </c>
    </row>
    <row r="309" spans="1:4" ht="91.5" customHeight="1">
      <c r="A309" s="12" t="s">
        <v>299</v>
      </c>
      <c r="B309" s="13" t="s">
        <v>300</v>
      </c>
      <c r="C309" s="13">
        <v>200</v>
      </c>
      <c r="D309" s="6">
        <f>100000-35000</f>
        <v>65000</v>
      </c>
    </row>
    <row r="310" spans="1:4" s="3" customFormat="1" ht="90.75" customHeight="1">
      <c r="A310" s="12" t="s">
        <v>301</v>
      </c>
      <c r="B310" s="13" t="s">
        <v>302</v>
      </c>
      <c r="C310" s="13">
        <v>200</v>
      </c>
      <c r="D310" s="6">
        <v>14954</v>
      </c>
    </row>
    <row r="311" spans="1:4" ht="45.75" customHeight="1">
      <c r="A311" s="24" t="s">
        <v>604</v>
      </c>
      <c r="B311" s="22" t="s">
        <v>303</v>
      </c>
      <c r="C311" s="13"/>
      <c r="D311" s="16">
        <f>SUM(D312:D314)</f>
        <v>492055</v>
      </c>
    </row>
    <row r="312" spans="1:4" ht="82.5" customHeight="1">
      <c r="A312" s="12" t="s">
        <v>304</v>
      </c>
      <c r="B312" s="13" t="s">
        <v>305</v>
      </c>
      <c r="C312" s="13">
        <v>200</v>
      </c>
      <c r="D312" s="6">
        <f>100000+228855+13200-45384</f>
        <v>296671</v>
      </c>
    </row>
    <row r="313" spans="1:4" ht="67.5" customHeight="1">
      <c r="A313" s="12" t="s">
        <v>440</v>
      </c>
      <c r="B313" s="13" t="s">
        <v>439</v>
      </c>
      <c r="C313" s="13">
        <v>200</v>
      </c>
      <c r="D313" s="6">
        <f>50000+50000+80384</f>
        <v>180384</v>
      </c>
    </row>
    <row r="314" spans="1:4" ht="67.5" customHeight="1">
      <c r="A314" s="12" t="s">
        <v>628</v>
      </c>
      <c r="B314" s="13" t="s">
        <v>627</v>
      </c>
      <c r="C314" s="13">
        <v>200</v>
      </c>
      <c r="D314" s="6">
        <v>15000</v>
      </c>
    </row>
    <row r="315" spans="1:4" ht="102" customHeight="1">
      <c r="A315" s="25" t="s">
        <v>508</v>
      </c>
      <c r="B315" s="20" t="s">
        <v>509</v>
      </c>
      <c r="C315" s="20"/>
      <c r="D315" s="15">
        <f>D316</f>
        <v>9788237.5</v>
      </c>
    </row>
    <row r="316" spans="1:4" ht="50.25" customHeight="1">
      <c r="A316" s="24" t="s">
        <v>510</v>
      </c>
      <c r="B316" s="22" t="s">
        <v>511</v>
      </c>
      <c r="C316" s="22"/>
      <c r="D316" s="16">
        <f>SUM(D317:D319)</f>
        <v>9788237.5</v>
      </c>
    </row>
    <row r="317" spans="1:4" ht="127.5" customHeight="1">
      <c r="A317" s="12" t="s">
        <v>512</v>
      </c>
      <c r="B317" s="13" t="s">
        <v>513</v>
      </c>
      <c r="C317" s="13">
        <v>100</v>
      </c>
      <c r="D317" s="6">
        <f>4428154.93+124117.92+11206.31</f>
        <v>4563479.1599999992</v>
      </c>
    </row>
    <row r="318" spans="1:4" ht="89.25" customHeight="1">
      <c r="A318" s="12" t="s">
        <v>514</v>
      </c>
      <c r="B318" s="13" t="s">
        <v>513</v>
      </c>
      <c r="C318" s="13">
        <v>200</v>
      </c>
      <c r="D318" s="6">
        <f>3545268.38+251213.71+2000+24254.45+1270696.8</f>
        <v>5093433.34</v>
      </c>
    </row>
    <row r="319" spans="1:4" ht="72.75" customHeight="1">
      <c r="A319" s="12" t="s">
        <v>515</v>
      </c>
      <c r="B319" s="13" t="s">
        <v>513</v>
      </c>
      <c r="C319" s="13">
        <v>800</v>
      </c>
      <c r="D319" s="6">
        <f>116625+14700</f>
        <v>131325</v>
      </c>
    </row>
    <row r="320" spans="1:4" ht="72" customHeight="1">
      <c r="A320" s="19" t="s">
        <v>115</v>
      </c>
      <c r="B320" s="20" t="s">
        <v>114</v>
      </c>
      <c r="C320" s="20"/>
      <c r="D320" s="15">
        <f t="shared" ref="D320" si="37">D321+D326+D330</f>
        <v>119400</v>
      </c>
    </row>
    <row r="321" spans="1:4" ht="57.75" customHeight="1">
      <c r="A321" s="19" t="s">
        <v>117</v>
      </c>
      <c r="B321" s="20" t="s">
        <v>116</v>
      </c>
      <c r="C321" s="20"/>
      <c r="D321" s="15">
        <f t="shared" ref="D321" si="38">D322</f>
        <v>89400</v>
      </c>
    </row>
    <row r="322" spans="1:4" ht="31.5" customHeight="1">
      <c r="A322" s="21" t="s">
        <v>119</v>
      </c>
      <c r="B322" s="22" t="s">
        <v>118</v>
      </c>
      <c r="C322" s="22"/>
      <c r="D322" s="16">
        <f t="shared" ref="D322" si="39">SUM(D323:D325)</f>
        <v>89400</v>
      </c>
    </row>
    <row r="323" spans="1:4" s="3" customFormat="1" ht="83.25" customHeight="1">
      <c r="A323" s="23" t="s">
        <v>398</v>
      </c>
      <c r="B323" s="13" t="s">
        <v>399</v>
      </c>
      <c r="C323" s="13">
        <v>200</v>
      </c>
      <c r="D323" s="6">
        <f>35000+29400</f>
        <v>64400</v>
      </c>
    </row>
    <row r="324" spans="1:4" ht="83.25" customHeight="1">
      <c r="A324" s="23" t="s">
        <v>400</v>
      </c>
      <c r="B324" s="13" t="s">
        <v>399</v>
      </c>
      <c r="C324" s="13">
        <v>600</v>
      </c>
      <c r="D324" s="6">
        <v>10000</v>
      </c>
    </row>
    <row r="325" spans="1:4" ht="84" customHeight="1">
      <c r="A325" s="23" t="s">
        <v>589</v>
      </c>
      <c r="B325" s="13" t="s">
        <v>590</v>
      </c>
      <c r="C325" s="13">
        <v>200</v>
      </c>
      <c r="D325" s="6">
        <v>15000</v>
      </c>
    </row>
    <row r="326" spans="1:4" s="4" customFormat="1" ht="37.5">
      <c r="A326" s="19" t="s">
        <v>121</v>
      </c>
      <c r="B326" s="20" t="s">
        <v>120</v>
      </c>
      <c r="C326" s="20"/>
      <c r="D326" s="15">
        <f t="shared" ref="D326" si="40">D327</f>
        <v>20000</v>
      </c>
    </row>
    <row r="327" spans="1:4" s="4" customFormat="1" ht="47.25" customHeight="1">
      <c r="A327" s="21" t="s">
        <v>417</v>
      </c>
      <c r="B327" s="22" t="s">
        <v>122</v>
      </c>
      <c r="C327" s="22"/>
      <c r="D327" s="16">
        <f t="shared" ref="D327" si="41">SUM(D328:D329)</f>
        <v>20000</v>
      </c>
    </row>
    <row r="328" spans="1:4" s="3" customFormat="1" ht="90.75" customHeight="1">
      <c r="A328" s="23" t="s">
        <v>159</v>
      </c>
      <c r="B328" s="13" t="s">
        <v>123</v>
      </c>
      <c r="C328" s="13">
        <v>200</v>
      </c>
      <c r="D328" s="6">
        <v>10000</v>
      </c>
    </row>
    <row r="329" spans="1:4" ht="76.5" customHeight="1">
      <c r="A329" s="23" t="s">
        <v>401</v>
      </c>
      <c r="B329" s="13" t="s">
        <v>402</v>
      </c>
      <c r="C329" s="13">
        <v>200</v>
      </c>
      <c r="D329" s="6">
        <v>10000</v>
      </c>
    </row>
    <row r="330" spans="1:4" ht="46.5" customHeight="1">
      <c r="A330" s="19" t="s">
        <v>403</v>
      </c>
      <c r="B330" s="20" t="s">
        <v>404</v>
      </c>
      <c r="C330" s="20"/>
      <c r="D330" s="15">
        <f t="shared" ref="D330:D331" si="42">D331</f>
        <v>10000</v>
      </c>
    </row>
    <row r="331" spans="1:4" ht="48.75" customHeight="1">
      <c r="A331" s="21" t="s">
        <v>405</v>
      </c>
      <c r="B331" s="22" t="s">
        <v>406</v>
      </c>
      <c r="C331" s="22"/>
      <c r="D331" s="16">
        <f t="shared" si="42"/>
        <v>10000</v>
      </c>
    </row>
    <row r="332" spans="1:4" ht="80.25" customHeight="1">
      <c r="A332" s="23" t="s">
        <v>407</v>
      </c>
      <c r="B332" s="13" t="s">
        <v>408</v>
      </c>
      <c r="C332" s="13">
        <v>200</v>
      </c>
      <c r="D332" s="6">
        <f>5000+5000</f>
        <v>10000</v>
      </c>
    </row>
    <row r="333" spans="1:4" s="3" customFormat="1" ht="93.75">
      <c r="A333" s="25" t="s">
        <v>324</v>
      </c>
      <c r="B333" s="20" t="s">
        <v>306</v>
      </c>
      <c r="C333" s="13"/>
      <c r="D333" s="15">
        <f t="shared" ref="D333" si="43">D334</f>
        <v>13500</v>
      </c>
    </row>
    <row r="334" spans="1:4" ht="38.25" customHeight="1">
      <c r="A334" s="19" t="s">
        <v>321</v>
      </c>
      <c r="B334" s="20" t="s">
        <v>307</v>
      </c>
      <c r="C334" s="20"/>
      <c r="D334" s="15">
        <f t="shared" ref="D334" si="44">D335+D337</f>
        <v>13500</v>
      </c>
    </row>
    <row r="335" spans="1:4" ht="63" customHeight="1">
      <c r="A335" s="24" t="s">
        <v>323</v>
      </c>
      <c r="B335" s="22" t="s">
        <v>308</v>
      </c>
      <c r="C335" s="13"/>
      <c r="D335" s="16">
        <f t="shared" ref="D335" si="45">SUM(D336)</f>
        <v>12000</v>
      </c>
    </row>
    <row r="336" spans="1:4" ht="91.5" customHeight="1">
      <c r="A336" s="12" t="s">
        <v>309</v>
      </c>
      <c r="B336" s="13" t="s">
        <v>310</v>
      </c>
      <c r="C336" s="13">
        <v>200</v>
      </c>
      <c r="D336" s="6">
        <v>12000</v>
      </c>
    </row>
    <row r="337" spans="1:4" ht="150">
      <c r="A337" s="24" t="s">
        <v>311</v>
      </c>
      <c r="B337" s="22" t="s">
        <v>312</v>
      </c>
      <c r="C337" s="13"/>
      <c r="D337" s="16">
        <f t="shared" ref="D337" si="46">D338</f>
        <v>1500</v>
      </c>
    </row>
    <row r="338" spans="1:4" s="4" customFormat="1" ht="96" customHeight="1">
      <c r="A338" s="12" t="s">
        <v>322</v>
      </c>
      <c r="B338" s="13" t="s">
        <v>313</v>
      </c>
      <c r="C338" s="13">
        <v>200</v>
      </c>
      <c r="D338" s="6">
        <v>1500</v>
      </c>
    </row>
    <row r="339" spans="1:4" ht="70.5" customHeight="1">
      <c r="A339" s="25" t="s">
        <v>336</v>
      </c>
      <c r="B339" s="20" t="s">
        <v>314</v>
      </c>
      <c r="C339" s="13"/>
      <c r="D339" s="15">
        <f t="shared" ref="D339" si="47">D340+D343</f>
        <v>177260</v>
      </c>
    </row>
    <row r="340" spans="1:4" ht="46.5" customHeight="1">
      <c r="A340" s="19" t="s">
        <v>195</v>
      </c>
      <c r="B340" s="20" t="s">
        <v>315</v>
      </c>
      <c r="C340" s="13"/>
      <c r="D340" s="15">
        <f t="shared" ref="D340" si="48">D341</f>
        <v>140000</v>
      </c>
    </row>
    <row r="341" spans="1:4" ht="45" customHeight="1">
      <c r="A341" s="21" t="s">
        <v>196</v>
      </c>
      <c r="B341" s="22" t="s">
        <v>316</v>
      </c>
      <c r="C341" s="13"/>
      <c r="D341" s="16">
        <f t="shared" ref="D341" si="49">SUM(D342:D342)</f>
        <v>140000</v>
      </c>
    </row>
    <row r="342" spans="1:4" ht="66.75" customHeight="1">
      <c r="A342" s="23" t="s">
        <v>379</v>
      </c>
      <c r="B342" s="13" t="s">
        <v>443</v>
      </c>
      <c r="C342" s="13">
        <v>300</v>
      </c>
      <c r="D342" s="6">
        <v>140000</v>
      </c>
    </row>
    <row r="343" spans="1:4" ht="64.5" customHeight="1">
      <c r="A343" s="19" t="s">
        <v>197</v>
      </c>
      <c r="B343" s="20" t="s">
        <v>317</v>
      </c>
      <c r="C343" s="13"/>
      <c r="D343" s="15">
        <f t="shared" ref="D343" si="50">D344</f>
        <v>37260</v>
      </c>
    </row>
    <row r="344" spans="1:4" ht="63.75" customHeight="1">
      <c r="A344" s="21" t="s">
        <v>198</v>
      </c>
      <c r="B344" s="22" t="s">
        <v>318</v>
      </c>
      <c r="C344" s="13"/>
      <c r="D344" s="16">
        <f t="shared" ref="D344" si="51">SUM(D345:D345)</f>
        <v>37260</v>
      </c>
    </row>
    <row r="345" spans="1:4" ht="113.25" customHeight="1">
      <c r="A345" s="12" t="s">
        <v>418</v>
      </c>
      <c r="B345" s="13" t="s">
        <v>444</v>
      </c>
      <c r="C345" s="13">
        <v>300</v>
      </c>
      <c r="D345" s="6">
        <v>37260</v>
      </c>
    </row>
    <row r="346" spans="1:4" ht="84" customHeight="1">
      <c r="A346" s="25" t="s">
        <v>348</v>
      </c>
      <c r="B346" s="20" t="s">
        <v>351</v>
      </c>
      <c r="C346" s="20"/>
      <c r="D346" s="15">
        <f t="shared" ref="D346:D347" si="52">D347</f>
        <v>246500</v>
      </c>
    </row>
    <row r="347" spans="1:4" ht="75.75" customHeight="1">
      <c r="A347" s="25" t="s">
        <v>349</v>
      </c>
      <c r="B347" s="20" t="s">
        <v>352</v>
      </c>
      <c r="C347" s="20"/>
      <c r="D347" s="15">
        <f t="shared" si="52"/>
        <v>246500</v>
      </c>
    </row>
    <row r="348" spans="1:4" ht="52.5" customHeight="1">
      <c r="A348" s="24" t="s">
        <v>350</v>
      </c>
      <c r="B348" s="22" t="s">
        <v>353</v>
      </c>
      <c r="C348" s="22"/>
      <c r="D348" s="16">
        <f t="shared" ref="D348" si="53">SUM(D349:D351)</f>
        <v>246500</v>
      </c>
    </row>
    <row r="349" spans="1:4" ht="71.25" customHeight="1">
      <c r="A349" s="12" t="s">
        <v>356</v>
      </c>
      <c r="B349" s="13" t="s">
        <v>354</v>
      </c>
      <c r="C349" s="13">
        <v>200</v>
      </c>
      <c r="D349" s="6">
        <f>1000+3000-1000</f>
        <v>3000</v>
      </c>
    </row>
    <row r="350" spans="1:4" ht="72.75" customHeight="1">
      <c r="A350" s="12" t="s">
        <v>357</v>
      </c>
      <c r="B350" s="13" t="s">
        <v>355</v>
      </c>
      <c r="C350" s="13">
        <v>200</v>
      </c>
      <c r="D350" s="6">
        <f>10300+15000+6000+40000+44000+56000+19200</f>
        <v>190500</v>
      </c>
    </row>
    <row r="351" spans="1:4" ht="84" customHeight="1">
      <c r="A351" s="12" t="s">
        <v>358</v>
      </c>
      <c r="B351" s="13" t="s">
        <v>355</v>
      </c>
      <c r="C351" s="13">
        <v>600</v>
      </c>
      <c r="D351" s="6">
        <f>35000+18000</f>
        <v>53000</v>
      </c>
    </row>
    <row r="352" spans="1:4" ht="49.5" customHeight="1">
      <c r="A352" s="25" t="s">
        <v>394</v>
      </c>
      <c r="B352" s="20" t="s">
        <v>395</v>
      </c>
      <c r="C352" s="13"/>
      <c r="D352" s="15">
        <f t="shared" ref="D352" si="54">D353</f>
        <v>5796876.8200000003</v>
      </c>
    </row>
    <row r="353" spans="1:4" s="4" customFormat="1" ht="94.5" customHeight="1">
      <c r="A353" s="19" t="s">
        <v>367</v>
      </c>
      <c r="B353" s="20" t="s">
        <v>124</v>
      </c>
      <c r="C353" s="20"/>
      <c r="D353" s="15">
        <f>SUM(D354:D366)</f>
        <v>5796876.8200000003</v>
      </c>
    </row>
    <row r="354" spans="1:4" s="4" customFormat="1" ht="112.5" customHeight="1">
      <c r="A354" s="23" t="s">
        <v>224</v>
      </c>
      <c r="B354" s="13" t="s">
        <v>125</v>
      </c>
      <c r="C354" s="13">
        <v>100</v>
      </c>
      <c r="D354" s="6">
        <f>1366654.98+13421.63</f>
        <v>1380076.6099999999</v>
      </c>
    </row>
    <row r="355" spans="1:4" s="4" customFormat="1" ht="81.75" customHeight="1">
      <c r="A355" s="23" t="s">
        <v>225</v>
      </c>
      <c r="B355" s="13" t="s">
        <v>125</v>
      </c>
      <c r="C355" s="13">
        <v>200</v>
      </c>
      <c r="D355" s="6">
        <v>366446</v>
      </c>
    </row>
    <row r="356" spans="1:4" ht="63.75" customHeight="1">
      <c r="A356" s="23" t="s">
        <v>226</v>
      </c>
      <c r="B356" s="13" t="s">
        <v>125</v>
      </c>
      <c r="C356" s="13">
        <v>800</v>
      </c>
      <c r="D356" s="6">
        <v>6000</v>
      </c>
    </row>
    <row r="357" spans="1:4" ht="116.25" customHeight="1">
      <c r="A357" s="23" t="s">
        <v>227</v>
      </c>
      <c r="B357" s="13" t="s">
        <v>126</v>
      </c>
      <c r="C357" s="13">
        <v>100</v>
      </c>
      <c r="D357" s="6">
        <v>72000</v>
      </c>
    </row>
    <row r="358" spans="1:4" ht="113.25" customHeight="1">
      <c r="A358" s="23" t="s">
        <v>138</v>
      </c>
      <c r="B358" s="13" t="s">
        <v>127</v>
      </c>
      <c r="C358" s="13">
        <v>100</v>
      </c>
      <c r="D358" s="6">
        <f>1288175.96+12819.69</f>
        <v>1300995.6499999999</v>
      </c>
    </row>
    <row r="359" spans="1:4" ht="72.75" customHeight="1">
      <c r="A359" s="23" t="s">
        <v>228</v>
      </c>
      <c r="B359" s="13" t="s">
        <v>127</v>
      </c>
      <c r="C359" s="13">
        <v>200</v>
      </c>
      <c r="D359" s="6">
        <v>367352.15</v>
      </c>
    </row>
    <row r="360" spans="1:4" ht="122.25" customHeight="1">
      <c r="A360" s="23" t="s">
        <v>139</v>
      </c>
      <c r="B360" s="13" t="s">
        <v>128</v>
      </c>
      <c r="C360" s="13">
        <v>100</v>
      </c>
      <c r="D360" s="6">
        <f>771763.89+7710.17</f>
        <v>779474.06</v>
      </c>
    </row>
    <row r="361" spans="1:4" ht="141.75" customHeight="1">
      <c r="A361" s="23" t="s">
        <v>640</v>
      </c>
      <c r="B361" s="13" t="s">
        <v>629</v>
      </c>
      <c r="C361" s="13">
        <v>100</v>
      </c>
      <c r="D361" s="6">
        <v>228435</v>
      </c>
    </row>
    <row r="362" spans="1:4" ht="111" customHeight="1">
      <c r="A362" s="12" t="s">
        <v>140</v>
      </c>
      <c r="B362" s="13" t="s">
        <v>132</v>
      </c>
      <c r="C362" s="13">
        <v>100</v>
      </c>
      <c r="D362" s="6">
        <f>1132392.52+11314.55</f>
        <v>1143707.07</v>
      </c>
    </row>
    <row r="363" spans="1:4" ht="155.25" customHeight="1">
      <c r="A363" s="12" t="s">
        <v>630</v>
      </c>
      <c r="B363" s="13" t="s">
        <v>634</v>
      </c>
      <c r="C363" s="13">
        <v>100</v>
      </c>
      <c r="D363" s="6">
        <v>38089</v>
      </c>
    </row>
    <row r="364" spans="1:4" ht="146.25" customHeight="1">
      <c r="A364" s="12" t="s">
        <v>631</v>
      </c>
      <c r="B364" s="13" t="s">
        <v>635</v>
      </c>
      <c r="C364" s="13">
        <v>100</v>
      </c>
      <c r="D364" s="6">
        <v>38089</v>
      </c>
    </row>
    <row r="365" spans="1:4" ht="148.5" customHeight="1">
      <c r="A365" s="12" t="s">
        <v>632</v>
      </c>
      <c r="B365" s="13" t="s">
        <v>636</v>
      </c>
      <c r="C365" s="13">
        <v>100</v>
      </c>
      <c r="D365" s="6">
        <v>38089</v>
      </c>
    </row>
    <row r="366" spans="1:4" ht="141" customHeight="1">
      <c r="A366" s="12" t="s">
        <v>633</v>
      </c>
      <c r="B366" s="13" t="s">
        <v>637</v>
      </c>
      <c r="C366" s="13">
        <v>100</v>
      </c>
      <c r="D366" s="6">
        <v>38123.279999999999</v>
      </c>
    </row>
    <row r="367" spans="1:4" ht="50.25" customHeight="1">
      <c r="A367" s="25" t="s">
        <v>396</v>
      </c>
      <c r="B367" s="20" t="s">
        <v>397</v>
      </c>
      <c r="C367" s="13"/>
      <c r="D367" s="15">
        <f t="shared" ref="D367" si="55">D368</f>
        <v>3213872.3700000006</v>
      </c>
    </row>
    <row r="368" spans="1:4" ht="72.75" customHeight="1">
      <c r="A368" s="19" t="s">
        <v>326</v>
      </c>
      <c r="B368" s="20" t="s">
        <v>327</v>
      </c>
      <c r="C368" s="20"/>
      <c r="D368" s="15">
        <f>SUM(D369:D385)</f>
        <v>3213872.3700000006</v>
      </c>
    </row>
    <row r="369" spans="1:5" ht="57.75" customHeight="1">
      <c r="A369" s="23" t="s">
        <v>475</v>
      </c>
      <c r="B369" s="13" t="s">
        <v>474</v>
      </c>
      <c r="C369" s="13">
        <v>200</v>
      </c>
      <c r="D369" s="6">
        <f>771748.52-30000+61751.34</f>
        <v>803499.86</v>
      </c>
    </row>
    <row r="370" spans="1:5" ht="37.5" customHeight="1">
      <c r="A370" s="23" t="s">
        <v>585</v>
      </c>
      <c r="B370" s="13" t="s">
        <v>474</v>
      </c>
      <c r="C370" s="13">
        <v>800</v>
      </c>
      <c r="D370" s="6">
        <v>30000</v>
      </c>
    </row>
    <row r="371" spans="1:5" ht="105" customHeight="1">
      <c r="A371" s="23" t="s">
        <v>419</v>
      </c>
      <c r="B371" s="13" t="s">
        <v>359</v>
      </c>
      <c r="C371" s="13">
        <v>500</v>
      </c>
      <c r="D371" s="6">
        <v>140880.10999999999</v>
      </c>
    </row>
    <row r="372" spans="1:5" ht="135" customHeight="1">
      <c r="A372" s="33" t="s">
        <v>516</v>
      </c>
      <c r="B372" s="13" t="s">
        <v>517</v>
      </c>
      <c r="C372" s="13">
        <v>500</v>
      </c>
      <c r="D372" s="6">
        <v>1958.8</v>
      </c>
      <c r="E372" s="14"/>
    </row>
    <row r="373" spans="1:5" ht="191.25" customHeight="1">
      <c r="A373" s="33" t="s">
        <v>518</v>
      </c>
      <c r="B373" s="13" t="s">
        <v>519</v>
      </c>
      <c r="C373" s="13">
        <v>500</v>
      </c>
      <c r="D373" s="6">
        <v>8247.2000000000007</v>
      </c>
    </row>
    <row r="374" spans="1:5" ht="89.25" customHeight="1">
      <c r="A374" s="33" t="s">
        <v>520</v>
      </c>
      <c r="B374" s="13" t="s">
        <v>521</v>
      </c>
      <c r="C374" s="13">
        <v>500</v>
      </c>
      <c r="D374" s="6">
        <v>1958.8</v>
      </c>
    </row>
    <row r="375" spans="1:5" ht="105" customHeight="1">
      <c r="A375" s="33" t="s">
        <v>522</v>
      </c>
      <c r="B375" s="13" t="s">
        <v>523</v>
      </c>
      <c r="C375" s="13">
        <v>500</v>
      </c>
      <c r="D375" s="6">
        <v>1958.8</v>
      </c>
    </row>
    <row r="376" spans="1:5" ht="136.5" customHeight="1">
      <c r="A376" s="33" t="s">
        <v>524</v>
      </c>
      <c r="B376" s="13" t="s">
        <v>525</v>
      </c>
      <c r="C376" s="13">
        <v>500</v>
      </c>
      <c r="D376" s="6">
        <v>1958.8</v>
      </c>
    </row>
    <row r="377" spans="1:5" ht="127.5" customHeight="1">
      <c r="A377" s="33" t="s">
        <v>526</v>
      </c>
      <c r="B377" s="13" t="s">
        <v>527</v>
      </c>
      <c r="C377" s="13">
        <v>500</v>
      </c>
      <c r="D377" s="6">
        <v>1958.8</v>
      </c>
    </row>
    <row r="378" spans="1:5" ht="90.75" customHeight="1">
      <c r="A378" s="33" t="s">
        <v>528</v>
      </c>
      <c r="B378" s="13" t="s">
        <v>529</v>
      </c>
      <c r="C378" s="13">
        <v>500</v>
      </c>
      <c r="D378" s="6">
        <v>1958.8</v>
      </c>
    </row>
    <row r="379" spans="1:5" ht="116.25" customHeight="1">
      <c r="A379" s="33" t="s">
        <v>639</v>
      </c>
      <c r="B379" s="13" t="s">
        <v>638</v>
      </c>
      <c r="C379" s="13">
        <v>200</v>
      </c>
      <c r="D379" s="6">
        <v>100000</v>
      </c>
    </row>
    <row r="380" spans="1:5" ht="72.75" customHeight="1">
      <c r="A380" s="33" t="s">
        <v>678</v>
      </c>
      <c r="B380" s="13" t="s">
        <v>677</v>
      </c>
      <c r="C380" s="13">
        <v>800</v>
      </c>
      <c r="D380" s="6">
        <v>30000</v>
      </c>
    </row>
    <row r="381" spans="1:5" ht="165" customHeight="1">
      <c r="A381" s="33" t="s">
        <v>689</v>
      </c>
      <c r="B381" s="13" t="s">
        <v>688</v>
      </c>
      <c r="C381" s="13">
        <v>200</v>
      </c>
      <c r="D381" s="6">
        <v>50000</v>
      </c>
    </row>
    <row r="382" spans="1:5" ht="76.5" customHeight="1">
      <c r="A382" s="23" t="s">
        <v>602</v>
      </c>
      <c r="B382" s="13" t="s">
        <v>601</v>
      </c>
      <c r="C382" s="13">
        <v>200</v>
      </c>
      <c r="D382" s="6">
        <v>310167</v>
      </c>
    </row>
    <row r="383" spans="1:5" ht="65.25" customHeight="1">
      <c r="A383" s="23" t="s">
        <v>361</v>
      </c>
      <c r="B383" s="13" t="s">
        <v>360</v>
      </c>
      <c r="C383" s="13">
        <v>300</v>
      </c>
      <c r="D383" s="6">
        <v>1562099.33</v>
      </c>
    </row>
    <row r="384" spans="1:5" ht="111.75" customHeight="1">
      <c r="A384" s="23" t="s">
        <v>460</v>
      </c>
      <c r="B384" s="13" t="s">
        <v>325</v>
      </c>
      <c r="C384" s="13">
        <v>200</v>
      </c>
      <c r="D384" s="6">
        <v>65792.850000000006</v>
      </c>
    </row>
    <row r="385" spans="1:4" ht="155.25" customHeight="1">
      <c r="A385" s="23" t="s">
        <v>561</v>
      </c>
      <c r="B385" s="13" t="s">
        <v>562</v>
      </c>
      <c r="C385" s="13">
        <v>200</v>
      </c>
      <c r="D385" s="6">
        <v>101433.22</v>
      </c>
    </row>
    <row r="386" spans="1:4" ht="38.25" customHeight="1">
      <c r="A386" s="29" t="s">
        <v>380</v>
      </c>
      <c r="B386" s="30"/>
      <c r="C386" s="31"/>
      <c r="D386" s="15">
        <f>D29+D123+D185+D220+D244+D266+D271+D286+D320+D333+D339+D346+D353+D368</f>
        <v>380481336.53999996</v>
      </c>
    </row>
    <row r="387" spans="1:4">
      <c r="A387" s="9"/>
      <c r="B387" s="10"/>
      <c r="C387" s="11"/>
      <c r="D387" s="36" t="s">
        <v>641</v>
      </c>
    </row>
    <row r="388" spans="1:4">
      <c r="A388" s="7"/>
      <c r="B388" s="7"/>
      <c r="C388" s="8"/>
      <c r="D388" s="14"/>
    </row>
    <row r="389" spans="1:4" s="4" customFormat="1">
      <c r="A389" s="7"/>
      <c r="B389" s="7"/>
      <c r="C389" s="8"/>
      <c r="D389" s="35"/>
    </row>
    <row r="390" spans="1:4">
      <c r="A390" s="7"/>
      <c r="B390" s="7"/>
      <c r="C390" s="8"/>
    </row>
    <row r="391" spans="1:4">
      <c r="A391" s="7"/>
      <c r="B391" s="7"/>
      <c r="C391" s="8"/>
    </row>
    <row r="392" spans="1:4">
      <c r="A392" s="7"/>
      <c r="B392" s="7"/>
      <c r="C392" s="8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2021-05-24T06:18:57Z</dcterms:modified>
</cp:coreProperties>
</file>