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<sst xmlns="http://schemas.openxmlformats.org/spreadsheetml/2006/main" count="505" uniqueCount="422">
  <si>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</si>
  <si>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</si>
  <si>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</si>
  <si>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</si>
  <si>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</si>
  <si>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</si>
  <si>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</si>
  <si>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</si>
  <si>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</si>
  <si>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</si>
  <si>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</si>
  <si>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</si>
  <si>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</si>
  <si>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</si>
  <si>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</si>
  <si>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</si>
  <si>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</si>
  <si>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</si>
  <si>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</si>
  <si>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</si>
  <si>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</si>
  <si>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</si>
  <si>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</si>
  <si>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</si>
  <si>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</si>
  <si>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</si>
  <si>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</si>
  <si>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</si>
  <si>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</si>
  <si>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</si>
  <si>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</si>
  <si>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</si>
  <si>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</si>
  <si>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</si>
  <si>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</si>
  <si>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</si>
  <si>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</si>
  <si>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</si>
  <si>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</si>
  <si>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</si>
  <si>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</si>
  <si>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</si>
  <si>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</si>
  <si>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</si>
  <si>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</si>
  <si>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</si>
  <si>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</si>
  <si>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</si>
  <si>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</si>
  <si>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</si>
  <si>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</si>
  <si>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</si>
  <si>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</si>
  <si>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</si>
  <si>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</si>
  <si>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</si>
  <si>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</si>
  <si>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</si>
  <si>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</si>
  <si>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</si>
  <si>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</si>
  <si>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</si>
  <si>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</si>
  <si>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</si>
  <si>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</si>
  <si>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</si>
  <si>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</si>
  <si>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</si>
  <si>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</si>
  <si>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</si>
  <si>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</si>
  <si>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</si>
  <si>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</si>
  <si>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</si>
  <si>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</si>
  <si>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</si>
  <si>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</si>
  <si>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</si>
  <si>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</si>
  <si>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</si>
  <si>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</si>
  <si>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</si>
  <si>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</si>
  <si>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</si>
  <si>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</si>
  <si>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</si>
  <si>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</si>
  <si>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</si>
  <si>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</si>
  <si>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</si>
  <si>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</si>
  <si>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</si>
  <si>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</si>
  <si>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</si>
  <si>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</si>
  <si>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</si>
  <si>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</si>
  <si>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</si>
  <si>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</si>
  <si>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</si>
  <si>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</si>
  <si>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</si>
  <si>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</si>
  <si>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</si>
  <si>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</si>
  <si>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</si>
  <si>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</si>
  <si>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</si>
  <si>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</si>
  <si>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</si>
  <si>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</si>
  <si>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</si>
  <si>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</si>
  <si>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</si>
  <si>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</si>
  <si>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</si>
  <si>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</si>
  <si>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</si>
  <si>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</si>
  <si>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</si>
  <si>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</si>
  <si>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</si>
  <si>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</si>
  <si>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</si>
  <si>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</si>
  <si>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</si>
  <si>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</si>
  <si>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</si>
  <si>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</si>
  <si>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</si>
  <si>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</si>
  <si>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</si>
  <si>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</si>
  <si>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</si>
  <si>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</si>
  <si>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</si>
  <si>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</si>
  <si>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</si>
  <si>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</si>
  <si>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</si>
  <si>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</si>
  <si>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</si>
  <si>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</si>
  <si>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</si>
  <si>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</si>
  <si>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</si>
  <si>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</si>
  <si>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</si>
  <si>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</si>
  <si>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000 1 12 01042 01 0000 120
</t>
  </si>
  <si>
    <t xml:space="preserve">048 1 12 01042 01 0000 120
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</si>
  <si>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</si>
  <si>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</si>
  <si>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на 2020 год и на плановый</t>
  </si>
  <si>
    <t>период 2021 и 2022 годов"</t>
  </si>
  <si>
    <t xml:space="preserve">Доходы бюджета Южского муниципального района по кодам классификации доходов бюджетов на 2020 год и  на плановый период 2021 и 2022 годов </t>
  </si>
  <si>
    <t>2022 год</t>
  </si>
  <si>
    <t>188 1 16 01063 01 0000 140</t>
  </si>
  <si>
    <t>188 1 16 01193 01 0000 140</t>
  </si>
  <si>
    <t>321 1 16 01193 01 0000 140</t>
  </si>
  <si>
    <t>035 1 16 07090 05 0000 140</t>
  </si>
  <si>
    <t>041 1 16 07090 05 0000 140</t>
  </si>
  <si>
    <t>188 1 16 10032 05 0000 140</t>
  </si>
  <si>
    <t>000 1 16 01193 01 0000 140</t>
  </si>
  <si>
    <t xml:space="preserve">000 1 16 01000 01 0000 140
</t>
  </si>
  <si>
    <t xml:space="preserve">000 1 16 01060 01 0000 140
</t>
  </si>
  <si>
    <t xml:space="preserve">000 1 16 01063 01 0000 140
</t>
  </si>
  <si>
    <t xml:space="preserve">000 1 16 01190 01 0000 140
</t>
  </si>
  <si>
    <t xml:space="preserve">000 1 16 07090 05 0000 140
</t>
  </si>
  <si>
    <t xml:space="preserve">000 1 16 07090 00 0000 140
</t>
  </si>
  <si>
    <t xml:space="preserve">000 1 16 10000 00 0000 140
</t>
  </si>
  <si>
    <t xml:space="preserve">000 1 16 10030 05 0000 140
</t>
  </si>
  <si>
    <t xml:space="preserve">000 1 16 10032 05 0000 140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</si>
  <si>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</si>
  <si>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</si>
  <si>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</si>
  <si>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</si>
  <si>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</si>
  <si>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</si>
  <si>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</si>
  <si>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</si>
  <si>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</si>
  <si>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</si>
  <si>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</si>
  <si>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</si>
  <si>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</si>
  <si>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</si>
  <si>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</si>
  <si>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</si>
  <si>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</si>
  <si>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</si>
  <si>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</si>
  <si>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</si>
  <si>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</si>
  <si>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</si>
  <si>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</si>
  <si>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</si>
  <si>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</si>
  <si>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</si>
  <si>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</si>
  <si>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</si>
  <si>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</si>
  <si>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</si>
  <si>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</si>
  <si>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</si>
  <si>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</si>
  <si>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</si>
  <si>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</si>
  <si>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</si>
  <si>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</si>
  <si>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</si>
  <si>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</si>
  <si>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</si>
  <si>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</si>
  <si>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</si>
  <si>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</si>
  <si>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</si>
  <si>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</si>
  <si>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</si>
  <si>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</si>
  <si>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</si>
  <si>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</si>
  <si>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</si>
  <si>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</si>
  <si>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</si>
  <si>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</si>
  <si>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</si>
  <si>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</si>
  <si>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</si>
  <si>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</si>
  <si>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</si>
  <si>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</si>
  <si>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</si>
  <si>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</si>
  <si>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</si>
  <si>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от 20.12.2019 № 125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</si>
  <si>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</si>
  <si>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</si>
  <si>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</si>
  <si>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</si>
  <si>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20.12.2019 № 125 "О бюджете</t>
  </si>
  <si>
    <t>период 2021 и 2022 годов""</t>
  </si>
  <si>
    <t>"Приложение № 2</t>
  </si>
  <si>
    <t>"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</si>
  <si>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</si>
  <si>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</si>
  <si>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</si>
  <si>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</si>
  <si>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</si>
  <si>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</si>
  <si>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</si>
  <si>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</si>
  <si>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</si>
  <si>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</si>
  <si>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</si>
  <si>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</si>
  <si>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</si>
  <si>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</si>
  <si>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000 2 02 25169 05 0000 150</t>
  </si>
  <si>
    <t>039 2 02 25169 05 0000 150</t>
  </si>
  <si>
    <t>000 2 02 25097 05 0000 150</t>
  </si>
  <si>
    <t>039 2 02 25097 05 0000 150</t>
  </si>
  <si>
    <t>000 2 02 25210 05 0000 150</t>
  </si>
  <si>
    <t>039 2 02 25210 05 0000 150</t>
  </si>
  <si>
    <t xml:space="preserve"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</si>
  <si>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000 2 02 25210 00 0000 150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</si>
  <si>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</si>
  <si>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</si>
  <si>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</si>
  <si>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</si>
  <si>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</si>
  <si>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</si>
  <si>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035 1 13 02995 05 0000 130</t>
  </si>
  <si>
    <t xml:space="preserve">000 2 02 25511 00 0000 150
</t>
  </si>
  <si>
    <t xml:space="preserve">Субсидии бюджетам на проведение комплексных кадастровых работ
</t>
  </si>
  <si>
    <t xml:space="preserve">000 2 02 25511 05 0000 150
</t>
  </si>
  <si>
    <t xml:space="preserve">Субсидии бюджетам муниципальных районов на проведение комплексных кадастровых работ
</t>
  </si>
  <si>
    <t xml:space="preserve">041 2 02 25511 05 0000 150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</si>
  <si>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</si>
  <si>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</si>
  <si>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</si>
  <si>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</si>
  <si>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</si>
  <si>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</si>
  <si>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</si>
  <si>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</si>
  <si>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</si>
  <si>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</si>
  <si>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</si>
  <si>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</si>
  <si>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000 2 02 25169 00 0000 150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</si>
  <si>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</si>
  <si>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</si>
  <si>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</si>
  <si>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</si>
  <si>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</si>
  <si>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000 2 02 20077 05 0000 150</t>
  </si>
  <si>
    <t>044 2 02 20077 05 0000 150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</si>
  <si>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</si>
  <si>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</si>
  <si>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</si>
  <si>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000 2 02 25255 00 0000 150</t>
  </si>
  <si>
    <t>000 2 02 25255 05 0000 150</t>
  </si>
  <si>
    <t>039 2 02 25255 05 0000 150</t>
  </si>
  <si>
    <t xml:space="preserve"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</si>
  <si>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</si>
  <si>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</si>
  <si>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</si>
  <si>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</si>
  <si>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</si>
  <si>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035 1 16 10123 01 0051 140</t>
  </si>
  <si>
    <t>000 1 16 10123 01 0051 140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</si>
  <si>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</si>
  <si>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</si>
  <si>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</si>
  <si>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</si>
  <si>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</si>
  <si>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</si>
  <si>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</si>
  <si>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</si>
  <si>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000 1 05 02020 02 0000 110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</si>
  <si>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</si>
  <si>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182 1 05 02020 02 0000 110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</si>
  <si>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</si>
  <si>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</si>
  <si>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</si>
  <si>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</si>
  <si>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</si>
  <si>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</si>
  <si>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</si>
  <si>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</si>
  <si>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</si>
  <si>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</si>
  <si>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</si>
  <si>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</si>
  <si>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000 1 16 01080 01 0000 140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</si>
  <si>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</si>
  <si>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000 1 16 01083 01 0000 140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</si>
  <si>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</si>
  <si>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042 1 16 01083 01 0000 140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</si>
  <si>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</si>
  <si>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</si>
  <si>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</si>
  <si>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</si>
  <si>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</si>
  <si>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</si>
  <si>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</si>
  <si>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</si>
  <si>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</si>
  <si>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042 1 16 01153 01 0000 140
</t>
  </si>
  <si>
    <t xml:space="preserve">000 1 16 01180 01 0000 140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</si>
  <si>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</si>
  <si>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000 1 16 01183 01 0000 140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</si>
  <si>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</si>
  <si>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042 1 16 01183 01 0000 140
</t>
  </si>
  <si>
    <t xml:space="preserve">000 1 16 01200 01 0000 140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</si>
  <si>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</si>
  <si>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000 1 16 01203 01 0000 140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</si>
  <si>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</si>
  <si>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023 1 16 01203 01 0000 140
</t>
  </si>
  <si>
    <t xml:space="preserve">042 1 16 01203 01 0000 140
</t>
  </si>
  <si>
    <t>188 1 16 10123 01 0051 140</t>
  </si>
  <si>
    <t>322 1 16 10123 01 0051 140</t>
  </si>
  <si>
    <t>415 1 16 10123 01 0051 140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</si>
  <si>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</si>
  <si>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</si>
  <si>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</si>
  <si>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</si>
  <si>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000 1 16 01050 01 0000 140</t>
  </si>
  <si>
    <t>000 1 16 01053 01 0000 140</t>
  </si>
  <si>
    <t>023 1 16 01053 01 0000 140</t>
  </si>
  <si>
    <t>042 1 16 01053 01 0000 140</t>
  </si>
  <si>
    <t>042 1 16 01193 01 0000 140</t>
  </si>
  <si>
    <t>000 2 02 20216 05 0000 150</t>
  </si>
  <si>
    <t xml:space="preserve">044 2 02 20216 05 0000 150 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</si>
  <si>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</si>
  <si>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</si>
  <si>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</si>
  <si>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</si>
  <si>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</si>
  <si>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</si>
  <si>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</si>
  <si>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</si>
  <si>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</si>
  <si>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ЗАДОЛЖЕННОСТЬ И ПЕРЕРАСЧЕТЫ ПО ОТМЕНЕННЫМ НАЛОГАМ, СБОРАМ И ИНЫМ ОБЯЗАТЕЛЬНЫМ ПЛАТЕЖАМ
</t>
  </si>
  <si>
    <t>000 1 09 00000 00 0000 000</t>
  </si>
  <si>
    <t xml:space="preserve">000 1 09 01000 00 0000 110
</t>
  </si>
  <si>
    <t xml:space="preserve">Налог на прибыль организаций, зачислявшийся до 1 января 2005 года в местные бюджеты
</t>
  </si>
  <si>
    <t xml:space="preserve">000 1 09 01030 05 0000 110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</si>
  <si>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</si>
  <si>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182 1 09 01030 05 0000 110
</t>
  </si>
  <si>
    <t xml:space="preserve">000 1 09 04000 00 0000 110
</t>
  </si>
  <si>
    <t xml:space="preserve">Налоги на имущество
</t>
  </si>
  <si>
    <t xml:space="preserve">000 1 09 04010 02 0000 110
</t>
  </si>
  <si>
    <t xml:space="preserve">Налог на имущество предприятий
</t>
  </si>
  <si>
    <t xml:space="preserve">182 1 09 04010 02 0000 110
</t>
  </si>
  <si>
    <t xml:space="preserve">000 1 09 06000 02 0000 110
</t>
  </si>
  <si>
    <t xml:space="preserve">Прочие налоги и сборы (по отмененным налогам и сборам субъектов Российской Федерации)
</t>
  </si>
  <si>
    <t xml:space="preserve">000 1 09 06010 02 0000 110
</t>
  </si>
  <si>
    <t xml:space="preserve">Налог с продаж
</t>
  </si>
  <si>
    <t xml:space="preserve">182 1 09 06010 02 0000 110
</t>
  </si>
  <si>
    <t xml:space="preserve">000 1 09 07000 00 0000 110
</t>
  </si>
  <si>
    <t xml:space="preserve">Прочие налоги и сборы (по отмененным местным налогам и сборам)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</si>
  <si>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</si>
  <si>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</si>
  <si>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</si>
  <si>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</si>
  <si>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</si>
  <si>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 xml:space="preserve">000 2 02 45303 00 0000 150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</si>
  <si>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</si>
  <si>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000 2 02 45303 05 0000 150
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</si>
  <si>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</si>
  <si>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039 2 02 45303 05 0000 150
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</si>
  <si>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</si>
  <si>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</si>
  <si>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
</t>
  </si>
  <si>
    <t>039 2 02 25304 05 0000 150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</si>
  <si>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</si>
  <si>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</si>
  <si>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</si>
  <si>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000 2 02 25304 05 0000 150
</t>
  </si>
  <si>
    <t>от 11.09.2020 № 69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</si>
</sst>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8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8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1:5" ht="18.75">
      <c r="A1" s="36"/>
      <c r="B1" s="37"/>
      <c r="C1" s="41" t="s">
        <v>236</v>
      </c>
      <c r="D1" s="41"/>
      <c r="E1" s="41"/>
    </row>
    <row r="2" spans="1:5" ht="18.75">
      <c r="A2" s="36"/>
      <c r="B2" s="37"/>
      <c r="C2" s="41" t="s">
        <v>50</v>
      </c>
      <c r="D2" s="41"/>
      <c r="E2" s="41"/>
    </row>
    <row r="3" spans="1:5" ht="18.75">
      <c r="A3" s="36"/>
      <c r="B3" s="37"/>
      <c r="C3" s="41" t="s">
        <v>51</v>
      </c>
      <c r="D3" s="41"/>
      <c r="E3" s="41"/>
    </row>
    <row r="4" spans="1:5" ht="18.75">
      <c r="A4" s="36"/>
      <c r="B4" s="37"/>
      <c r="C4" s="41" t="s">
        <v>237</v>
      </c>
      <c r="D4" s="41"/>
      <c r="E4" s="41"/>
    </row>
    <row r="5" spans="1:5" ht="18.75">
      <c r="A5" s="36"/>
      <c r="B5" s="37"/>
      <c r="C5" s="41" t="s">
        <v>238</v>
      </c>
      <c r="D5" s="41"/>
      <c r="E5" s="41"/>
    </row>
    <row r="6" spans="1:5" ht="18.75">
      <c r="A6" s="36"/>
      <c r="B6" s="37"/>
      <c r="C6" s="41" t="s">
        <v>51</v>
      </c>
      <c r="D6" s="41"/>
      <c r="E6" s="41"/>
    </row>
    <row r="7" spans="1:5" ht="18.75">
      <c r="A7" s="36"/>
      <c r="B7" s="37"/>
      <c r="C7" s="41" t="s">
        <v>240</v>
      </c>
      <c r="D7" s="41"/>
      <c r="E7" s="41"/>
    </row>
    <row r="8" spans="1:5" ht="18.75">
      <c r="A8" s="36"/>
      <c r="B8" s="37"/>
      <c r="C8" s="41" t="s">
        <v>239</v>
      </c>
      <c r="D8" s="41"/>
      <c r="E8" s="41"/>
    </row>
    <row r="9" spans="1:5" ht="18.75">
      <c r="A9" s="36"/>
      <c r="B9" s="37"/>
      <c r="C9" s="41" t="s">
        <v>153</v>
      </c>
      <c r="D9" s="41"/>
      <c r="E9" s="41"/>
    </row>
    <row r="10" spans="1:5" ht="18.75">
      <c r="A10" s="36"/>
      <c r="B10" s="37"/>
      <c r="C10" s="41" t="s">
        <v>241</v>
      </c>
      <c r="D10" s="41"/>
      <c r="E10" s="41"/>
    </row>
    <row r="11" spans="1:5" ht="18.75">
      <c r="A11" s="36"/>
      <c r="B11" s="37"/>
      <c r="C11" s="41" t="s">
        <v>421</v>
      </c>
      <c r="D11" s="41"/>
      <c r="E11" s="41"/>
    </row>
    <row r="12" spans="1:5" ht="18.75">
      <c r="A12" s="36"/>
      <c r="B12" s="37"/>
      <c r="C12" s="37"/>
      <c r="D12" s="38"/>
      <c r="E12" s="37"/>
    </row>
    <row r="13" spans="1:5" ht="18.75">
      <c r="A13" s="36"/>
      <c r="B13" s="37"/>
      <c r="C13" s="41" t="s">
        <v>242</v>
      </c>
      <c r="D13" s="41"/>
      <c r="E13" s="41"/>
    </row>
    <row r="14" spans="1:5" ht="18.75">
      <c r="A14" s="36"/>
      <c r="B14" s="37"/>
      <c r="C14" s="41" t="s">
        <v>50</v>
      </c>
      <c r="D14" s="41"/>
      <c r="E14" s="41"/>
    </row>
    <row r="15" spans="1:5" ht="18.75">
      <c r="A15" s="36"/>
      <c r="B15" s="37"/>
      <c r="C15" s="41" t="s">
        <v>51</v>
      </c>
      <c r="D15" s="41"/>
      <c r="E15" s="41"/>
    </row>
    <row r="16" spans="1:5" ht="18.75">
      <c r="A16" s="36"/>
      <c r="B16" s="37"/>
      <c r="C16" s="41" t="s">
        <v>52</v>
      </c>
      <c r="D16" s="41"/>
      <c r="E16" s="41"/>
    </row>
    <row r="17" spans="1:5" ht="18.75">
      <c r="A17" s="36"/>
      <c r="B17" s="37"/>
      <c r="C17" s="41" t="s">
        <v>51</v>
      </c>
      <c r="D17" s="41"/>
      <c r="E17" s="41"/>
    </row>
    <row r="18" spans="1:5" ht="18.75">
      <c r="A18" s="36"/>
      <c r="B18" s="37"/>
      <c r="C18" s="41" t="s">
        <v>153</v>
      </c>
      <c r="D18" s="41"/>
      <c r="E18" s="41"/>
    </row>
    <row r="19" spans="1:5" ht="18.75">
      <c r="A19" s="36"/>
      <c r="B19" s="37"/>
      <c r="C19" s="41" t="s">
        <v>154</v>
      </c>
      <c r="D19" s="41"/>
      <c r="E19" s="41"/>
    </row>
    <row r="20" spans="1:5" ht="18.75">
      <c r="A20" s="36"/>
      <c r="B20" s="37"/>
      <c r="C20" s="49" t="s">
        <v>235</v>
      </c>
      <c r="D20" s="49"/>
      <c r="E20" s="49"/>
    </row>
    <row r="21" spans="1:5" ht="18.75">
      <c r="A21" s="36"/>
      <c r="B21" s="37"/>
      <c r="C21" s="39"/>
      <c r="D21" s="38"/>
      <c r="E21" s="37"/>
    </row>
    <row r="22" spans="1:5" ht="18.75">
      <c r="A22" s="36"/>
      <c r="B22" s="37"/>
      <c r="C22" s="37"/>
      <c r="D22" s="38"/>
      <c r="E22" s="39" t="s">
        <v>53</v>
      </c>
    </row>
    <row r="23" spans="1:5" ht="18.75">
      <c r="A23" s="36"/>
      <c r="B23" s="37"/>
      <c r="C23" s="37"/>
      <c r="D23" s="38"/>
      <c r="E23" s="37"/>
    </row>
    <row r="24" spans="1:5" ht="40.5" customHeight="1">
      <c r="A24" s="47" t="s">
        <v>155</v>
      </c>
      <c r="B24" s="47"/>
      <c r="C24" s="47"/>
      <c r="D24" s="47"/>
      <c r="E24" s="47"/>
    </row>
    <row r="25" spans="1:5" ht="18" customHeight="1">
      <c r="A25" s="48"/>
      <c r="B25" s="48"/>
      <c r="C25" s="48"/>
      <c r="D25" s="48"/>
      <c r="E25" s="48"/>
    </row>
    <row r="26" spans="1:5" ht="42.75" customHeight="1">
      <c r="A26" s="44" t="s">
        <v>48</v>
      </c>
      <c r="B26" s="46" t="s">
        <v>49</v>
      </c>
      <c r="C26" s="46" t="s">
        <v>65</v>
      </c>
      <c r="D26" s="46"/>
      <c r="E26" s="46"/>
    </row>
    <row r="27" spans="1:5" ht="18.75">
      <c r="A27" s="45"/>
      <c r="B27" s="46"/>
      <c r="C27" s="29" t="s">
        <v>107</v>
      </c>
      <c r="D27" s="30" t="s">
        <v>110</v>
      </c>
      <c r="E27" s="30" t="s">
        <v>156</v>
      </c>
    </row>
    <row r="28" spans="1:5" ht="18.75">
      <c r="A28" s="31">
        <v>1</v>
      </c>
      <c r="B28" s="31">
        <v>2</v>
      </c>
      <c r="C28" s="24">
        <v>3</v>
      </c>
      <c r="D28" s="28">
        <v>4</v>
      </c>
      <c r="E28" s="28">
        <v>5</v>
      </c>
    </row>
    <row r="29" spans="1:5" ht="37.5">
      <c r="A29" s="14" t="s">
        <v>8</v>
      </c>
      <c r="B29" s="17" t="s">
        <v>101</v>
      </c>
      <c r="C29" s="23">
        <f>C77+C30+C40+C54+C70++C91+C107+C118+C129+C140+C66</f>
        <v>65972900.18</v>
      </c>
      <c r="D29" s="23">
        <f>D77+D30+D40+D54+D70++D91+D107+D118+D129+D140+D66</f>
        <v>61689172.25</v>
      </c>
      <c r="E29" s="23">
        <f>E77+E30+E40+E54+E70++E91+E107+E118+E129+E140+E66</f>
        <v>61669296.75</v>
      </c>
    </row>
    <row r="30" spans="1:5" ht="18.75">
      <c r="A30" s="14" t="s">
        <v>9</v>
      </c>
      <c r="B30" s="17" t="s">
        <v>10</v>
      </c>
      <c r="C30" s="23">
        <f>C31</f>
        <v>52197174.9</v>
      </c>
      <c r="D30" s="23">
        <f>D31</f>
        <v>51915090</v>
      </c>
      <c r="E30" s="23">
        <f>E31</f>
        <v>51915090</v>
      </c>
    </row>
    <row r="31" spans="1:5" ht="18.75">
      <c r="A31" s="40" t="s">
        <v>11</v>
      </c>
      <c r="B31" s="12" t="s">
        <v>12</v>
      </c>
      <c r="C31" s="10">
        <f>C32+C34+C38+C36</f>
        <v>52197174.9</v>
      </c>
      <c r="D31" s="10">
        <f>D32+D34+D38+D36</f>
        <v>51915090</v>
      </c>
      <c r="E31" s="10">
        <f>E32+E34+E38+E36</f>
        <v>51915090</v>
      </c>
    </row>
    <row r="32" spans="1:5" ht="150">
      <c r="A32" s="40" t="s">
        <v>66</v>
      </c>
      <c r="B32" s="20" t="s">
        <v>173</v>
      </c>
      <c r="C32" s="26">
        <f>C33</f>
        <v>51584174.9</v>
      </c>
      <c r="D32" s="26">
        <f>D33</f>
        <v>51302090</v>
      </c>
      <c r="E32" s="26">
        <f>E33</f>
        <v>51302090</v>
      </c>
    </row>
    <row r="33" spans="1:5" ht="150">
      <c r="A33" s="40" t="s">
        <v>13</v>
      </c>
      <c r="B33" s="20" t="s">
        <v>173</v>
      </c>
      <c r="C33" s="26">
        <f>51302090+282084.9</f>
        <v>51584174.9</v>
      </c>
      <c r="D33" s="26">
        <v>51302090</v>
      </c>
      <c r="E33" s="26">
        <v>51302090</v>
      </c>
    </row>
    <row r="34" spans="1:5" ht="243.75">
      <c r="A34" s="40" t="s">
        <v>67</v>
      </c>
      <c r="B34" s="20" t="s">
        <v>174</v>
      </c>
      <c r="C34" s="26">
        <f>C35</f>
        <v>160000</v>
      </c>
      <c r="D34" s="26">
        <f>D35</f>
        <v>160000</v>
      </c>
      <c r="E34" s="26">
        <f>E35</f>
        <v>160000</v>
      </c>
    </row>
    <row r="35" spans="1:5" ht="243.75">
      <c r="A35" s="40" t="s">
        <v>14</v>
      </c>
      <c r="B35" s="20" t="s">
        <v>174</v>
      </c>
      <c r="C35" s="26">
        <v>160000</v>
      </c>
      <c r="D35" s="26">
        <v>160000</v>
      </c>
      <c r="E35" s="26">
        <v>160000</v>
      </c>
    </row>
    <row r="36" spans="1:5" ht="93.75">
      <c r="A36" s="40" t="s">
        <v>68</v>
      </c>
      <c r="B36" s="12" t="s">
        <v>175</v>
      </c>
      <c r="C36" s="18">
        <f>C37</f>
        <v>303000</v>
      </c>
      <c r="D36" s="18">
        <f>D37</f>
        <v>303000</v>
      </c>
      <c r="E36" s="18">
        <f>E37</f>
        <v>303000</v>
      </c>
    </row>
    <row r="37" spans="1:5" ht="93.75">
      <c r="A37" s="40" t="s">
        <v>15</v>
      </c>
      <c r="B37" s="12" t="s">
        <v>175</v>
      </c>
      <c r="C37" s="18">
        <v>303000</v>
      </c>
      <c r="D37" s="18">
        <v>303000</v>
      </c>
      <c r="E37" s="18">
        <v>303000</v>
      </c>
    </row>
    <row r="38" spans="1:5" ht="187.5">
      <c r="A38" s="40" t="s">
        <v>69</v>
      </c>
      <c r="B38" s="20" t="s">
        <v>176</v>
      </c>
      <c r="C38" s="18">
        <f>C39</f>
        <v>150000</v>
      </c>
      <c r="D38" s="18">
        <f>D39</f>
        <v>150000</v>
      </c>
      <c r="E38" s="18">
        <f>E39</f>
        <v>150000</v>
      </c>
    </row>
    <row r="39" spans="1:5" ht="187.5">
      <c r="A39" s="40" t="s">
        <v>16</v>
      </c>
      <c r="B39" s="20" t="s">
        <v>176</v>
      </c>
      <c r="C39" s="18">
        <v>150000</v>
      </c>
      <c r="D39" s="18">
        <v>150000</v>
      </c>
      <c r="E39" s="18">
        <v>150000</v>
      </c>
    </row>
    <row r="40" spans="1:5" s="6" customFormat="1" ht="75">
      <c r="A40" s="32" t="s">
        <v>54</v>
      </c>
      <c r="B40" s="33" t="s">
        <v>60</v>
      </c>
      <c r="C40" s="16">
        <f>C41</f>
        <v>4360000</v>
      </c>
      <c r="D40" s="16">
        <f>D41</f>
        <v>4364000</v>
      </c>
      <c r="E40" s="16">
        <f>E41</f>
        <v>4364000</v>
      </c>
    </row>
    <row r="41" spans="1:5" ht="56.25">
      <c r="A41" s="24" t="s">
        <v>55</v>
      </c>
      <c r="B41" s="25" t="s">
        <v>177</v>
      </c>
      <c r="C41" s="18">
        <f>C42+C45+C48+C51</f>
        <v>4360000</v>
      </c>
      <c r="D41" s="18">
        <f>D42+D45+D48+D51</f>
        <v>4364000</v>
      </c>
      <c r="E41" s="18">
        <f>E42+E45+E48+E51</f>
        <v>4364000</v>
      </c>
    </row>
    <row r="42" spans="1:5" ht="150">
      <c r="A42" s="24" t="s">
        <v>413</v>
      </c>
      <c r="B42" s="25" t="s">
        <v>414</v>
      </c>
      <c r="C42" s="18">
        <f aca="true" t="shared" si="0" ref="C42:E43">C43</f>
        <v>1808000</v>
      </c>
      <c r="D42" s="18">
        <f t="shared" si="0"/>
        <v>1812000</v>
      </c>
      <c r="E42" s="18">
        <f t="shared" si="0"/>
        <v>1812000</v>
      </c>
    </row>
    <row r="43" spans="1:5" ht="225">
      <c r="A43" s="34" t="s">
        <v>140</v>
      </c>
      <c r="B43" s="20" t="s">
        <v>178</v>
      </c>
      <c r="C43" s="18">
        <f t="shared" si="0"/>
        <v>1808000</v>
      </c>
      <c r="D43" s="18">
        <f t="shared" si="0"/>
        <v>1812000</v>
      </c>
      <c r="E43" s="18">
        <f t="shared" si="0"/>
        <v>1812000</v>
      </c>
    </row>
    <row r="44" spans="1:5" ht="225">
      <c r="A44" s="24" t="s">
        <v>141</v>
      </c>
      <c r="B44" s="20" t="s">
        <v>178</v>
      </c>
      <c r="C44" s="18">
        <v>1808000</v>
      </c>
      <c r="D44" s="18">
        <v>1812000</v>
      </c>
      <c r="E44" s="18">
        <v>1812000</v>
      </c>
    </row>
    <row r="45" spans="1:5" ht="187.5">
      <c r="A45" s="24" t="s">
        <v>71</v>
      </c>
      <c r="B45" s="20" t="s">
        <v>179</v>
      </c>
      <c r="C45" s="18">
        <f aca="true" t="shared" si="1" ref="C45:E46">C46</f>
        <v>18000</v>
      </c>
      <c r="D45" s="18">
        <f t="shared" si="1"/>
        <v>18000</v>
      </c>
      <c r="E45" s="18">
        <f t="shared" si="1"/>
        <v>18000</v>
      </c>
    </row>
    <row r="46" spans="1:5" ht="262.5">
      <c r="A46" s="24" t="s">
        <v>143</v>
      </c>
      <c r="B46" s="20" t="s">
        <v>180</v>
      </c>
      <c r="C46" s="18">
        <f t="shared" si="1"/>
        <v>18000</v>
      </c>
      <c r="D46" s="18">
        <f t="shared" si="1"/>
        <v>18000</v>
      </c>
      <c r="E46" s="18">
        <f t="shared" si="1"/>
        <v>18000</v>
      </c>
    </row>
    <row r="47" spans="1:5" ht="262.5">
      <c r="A47" s="24" t="s">
        <v>142</v>
      </c>
      <c r="B47" s="20" t="s">
        <v>180</v>
      </c>
      <c r="C47" s="18">
        <v>18000</v>
      </c>
      <c r="D47" s="18">
        <v>18000</v>
      </c>
      <c r="E47" s="18">
        <v>18000</v>
      </c>
    </row>
    <row r="48" spans="1:5" ht="150">
      <c r="A48" s="24" t="s">
        <v>70</v>
      </c>
      <c r="B48" s="20" t="s">
        <v>181</v>
      </c>
      <c r="C48" s="18">
        <f aca="true" t="shared" si="2" ref="C48:E49">C49</f>
        <v>2784000</v>
      </c>
      <c r="D48" s="18">
        <f t="shared" si="2"/>
        <v>2784000</v>
      </c>
      <c r="E48" s="18">
        <f t="shared" si="2"/>
        <v>2784000</v>
      </c>
    </row>
    <row r="49" spans="1:5" ht="225">
      <c r="A49" s="24" t="s">
        <v>144</v>
      </c>
      <c r="B49" s="20" t="s">
        <v>148</v>
      </c>
      <c r="C49" s="18">
        <f t="shared" si="2"/>
        <v>2784000</v>
      </c>
      <c r="D49" s="18">
        <f t="shared" si="2"/>
        <v>2784000</v>
      </c>
      <c r="E49" s="18">
        <f t="shared" si="2"/>
        <v>2784000</v>
      </c>
    </row>
    <row r="50" spans="1:5" ht="225">
      <c r="A50" s="24" t="s">
        <v>145</v>
      </c>
      <c r="B50" s="20" t="s">
        <v>148</v>
      </c>
      <c r="C50" s="18">
        <v>2784000</v>
      </c>
      <c r="D50" s="18">
        <v>2784000</v>
      </c>
      <c r="E50" s="18">
        <v>2784000</v>
      </c>
    </row>
    <row r="51" spans="1:5" ht="150">
      <c r="A51" s="24" t="s">
        <v>109</v>
      </c>
      <c r="B51" s="20" t="s">
        <v>182</v>
      </c>
      <c r="C51" s="18">
        <f aca="true" t="shared" si="3" ref="C51:E52">C52</f>
        <v>-250000</v>
      </c>
      <c r="D51" s="18">
        <f t="shared" si="3"/>
        <v>-250000</v>
      </c>
      <c r="E51" s="18">
        <f t="shared" si="3"/>
        <v>-250000</v>
      </c>
    </row>
    <row r="52" spans="1:5" ht="225">
      <c r="A52" s="24" t="s">
        <v>146</v>
      </c>
      <c r="B52" s="20" t="s">
        <v>183</v>
      </c>
      <c r="C52" s="18">
        <f t="shared" si="3"/>
        <v>-250000</v>
      </c>
      <c r="D52" s="18">
        <f t="shared" si="3"/>
        <v>-250000</v>
      </c>
      <c r="E52" s="18">
        <f t="shared" si="3"/>
        <v>-250000</v>
      </c>
    </row>
    <row r="53" spans="1:5" ht="225">
      <c r="A53" s="24" t="s">
        <v>147</v>
      </c>
      <c r="B53" s="20" t="s">
        <v>183</v>
      </c>
      <c r="C53" s="18">
        <v>-250000</v>
      </c>
      <c r="D53" s="18">
        <v>-250000</v>
      </c>
      <c r="E53" s="18">
        <v>-250000</v>
      </c>
    </row>
    <row r="54" spans="1:5" ht="37.5">
      <c r="A54" s="14" t="s">
        <v>17</v>
      </c>
      <c r="B54" s="17" t="s">
        <v>98</v>
      </c>
      <c r="C54" s="23">
        <f>C55+C60+C63</f>
        <v>4442104.6</v>
      </c>
      <c r="D54" s="23">
        <f>D55+D60+D63</f>
        <v>1462000</v>
      </c>
      <c r="E54" s="23">
        <f>E55+E60+E63</f>
        <v>1462000</v>
      </c>
    </row>
    <row r="55" spans="1:5" ht="37.5">
      <c r="A55" s="40" t="s">
        <v>56</v>
      </c>
      <c r="B55" s="12" t="s">
        <v>184</v>
      </c>
      <c r="C55" s="10">
        <f>C56+C58</f>
        <v>4216773.6</v>
      </c>
      <c r="D55" s="10">
        <f>D56+D58</f>
        <v>1360000</v>
      </c>
      <c r="E55" s="10">
        <f>E56+E58</f>
        <v>1360000</v>
      </c>
    </row>
    <row r="56" spans="1:5" ht="37.5">
      <c r="A56" s="40" t="s">
        <v>73</v>
      </c>
      <c r="B56" s="12" t="s">
        <v>184</v>
      </c>
      <c r="C56" s="10">
        <f>C57</f>
        <v>4216667.609999999</v>
      </c>
      <c r="D56" s="10">
        <f>D57</f>
        <v>1360000</v>
      </c>
      <c r="E56" s="10">
        <f>E57</f>
        <v>1360000</v>
      </c>
    </row>
    <row r="57" spans="1:5" ht="37.5">
      <c r="A57" s="40" t="s">
        <v>18</v>
      </c>
      <c r="B57" s="12" t="s">
        <v>184</v>
      </c>
      <c r="C57" s="10">
        <f>3990000-23332.39+100000+150000</f>
        <v>4216667.609999999</v>
      </c>
      <c r="D57" s="10">
        <v>1360000</v>
      </c>
      <c r="E57" s="10">
        <v>1360000</v>
      </c>
    </row>
    <row r="58" spans="1:5" ht="93.75">
      <c r="A58" s="40" t="s">
        <v>320</v>
      </c>
      <c r="B58" s="12" t="s">
        <v>321</v>
      </c>
      <c r="C58" s="10">
        <f>C59</f>
        <v>105.99</v>
      </c>
      <c r="D58" s="10">
        <f>D59</f>
        <v>0</v>
      </c>
      <c r="E58" s="10">
        <f>E59</f>
        <v>0</v>
      </c>
    </row>
    <row r="59" spans="1:5" ht="93.75">
      <c r="A59" s="40" t="s">
        <v>322</v>
      </c>
      <c r="B59" s="12" t="s">
        <v>321</v>
      </c>
      <c r="C59" s="10">
        <f>1.39+104.6</f>
        <v>105.99</v>
      </c>
      <c r="D59" s="10">
        <v>0</v>
      </c>
      <c r="E59" s="10">
        <v>0</v>
      </c>
    </row>
    <row r="60" spans="1:5" ht="18.75">
      <c r="A60" s="40" t="s">
        <v>57</v>
      </c>
      <c r="B60" s="12" t="s">
        <v>185</v>
      </c>
      <c r="C60" s="10">
        <f aca="true" t="shared" si="4" ref="C60:E61">C61</f>
        <v>9100</v>
      </c>
      <c r="D60" s="10">
        <f t="shared" si="4"/>
        <v>7000</v>
      </c>
      <c r="E60" s="10">
        <f t="shared" si="4"/>
        <v>7000</v>
      </c>
    </row>
    <row r="61" spans="1:5" ht="18.75">
      <c r="A61" s="40" t="s">
        <v>83</v>
      </c>
      <c r="B61" s="12" t="s">
        <v>185</v>
      </c>
      <c r="C61" s="10">
        <f t="shared" si="4"/>
        <v>9100</v>
      </c>
      <c r="D61" s="10">
        <f t="shared" si="4"/>
        <v>7000</v>
      </c>
      <c r="E61" s="10">
        <f t="shared" si="4"/>
        <v>7000</v>
      </c>
    </row>
    <row r="62" spans="1:5" ht="18.75">
      <c r="A62" s="40" t="s">
        <v>19</v>
      </c>
      <c r="B62" s="12" t="s">
        <v>185</v>
      </c>
      <c r="C62" s="10">
        <f>12000-5000+2100</f>
        <v>9100</v>
      </c>
      <c r="D62" s="10">
        <v>7000</v>
      </c>
      <c r="E62" s="10">
        <v>7000</v>
      </c>
    </row>
    <row r="63" spans="1:5" ht="56.25">
      <c r="A63" s="40" t="s">
        <v>93</v>
      </c>
      <c r="B63" s="25" t="s">
        <v>94</v>
      </c>
      <c r="C63" s="10">
        <f aca="true" t="shared" si="5" ref="C63:E64">C64</f>
        <v>216231</v>
      </c>
      <c r="D63" s="10">
        <f t="shared" si="5"/>
        <v>95000</v>
      </c>
      <c r="E63" s="10">
        <f t="shared" si="5"/>
        <v>95000</v>
      </c>
    </row>
    <row r="64" spans="1:5" ht="75">
      <c r="A64" s="40" t="s">
        <v>96</v>
      </c>
      <c r="B64" s="25" t="s">
        <v>186</v>
      </c>
      <c r="C64" s="10">
        <f t="shared" si="5"/>
        <v>216231</v>
      </c>
      <c r="D64" s="10">
        <f t="shared" si="5"/>
        <v>95000</v>
      </c>
      <c r="E64" s="10">
        <f t="shared" si="5"/>
        <v>95000</v>
      </c>
    </row>
    <row r="65" spans="1:5" ht="75">
      <c r="A65" s="40" t="s">
        <v>97</v>
      </c>
      <c r="B65" s="25" t="s">
        <v>186</v>
      </c>
      <c r="C65" s="10">
        <f>90000+5000+21231+100000</f>
        <v>216231</v>
      </c>
      <c r="D65" s="10">
        <v>95000</v>
      </c>
      <c r="E65" s="10">
        <v>95000</v>
      </c>
    </row>
    <row r="66" spans="1:5" ht="67.5" customHeight="1">
      <c r="A66" s="14" t="s">
        <v>323</v>
      </c>
      <c r="B66" s="33" t="s">
        <v>324</v>
      </c>
      <c r="C66" s="23">
        <f aca="true" t="shared" si="6" ref="C66:E68">C67</f>
        <v>55275</v>
      </c>
      <c r="D66" s="23">
        <f t="shared" si="6"/>
        <v>0</v>
      </c>
      <c r="E66" s="23">
        <f t="shared" si="6"/>
        <v>0</v>
      </c>
    </row>
    <row r="67" spans="1:5" ht="45" customHeight="1">
      <c r="A67" s="40" t="s">
        <v>325</v>
      </c>
      <c r="B67" s="25" t="s">
        <v>326</v>
      </c>
      <c r="C67" s="10">
        <f t="shared" si="6"/>
        <v>55275</v>
      </c>
      <c r="D67" s="10">
        <f t="shared" si="6"/>
        <v>0</v>
      </c>
      <c r="E67" s="10">
        <f t="shared" si="6"/>
        <v>0</v>
      </c>
    </row>
    <row r="68" spans="1:5" ht="75">
      <c r="A68" s="40" t="s">
        <v>327</v>
      </c>
      <c r="B68" s="25" t="s">
        <v>328</v>
      </c>
      <c r="C68" s="10">
        <f t="shared" si="6"/>
        <v>55275</v>
      </c>
      <c r="D68" s="10">
        <f t="shared" si="6"/>
        <v>0</v>
      </c>
      <c r="E68" s="10">
        <f t="shared" si="6"/>
        <v>0</v>
      </c>
    </row>
    <row r="69" spans="1:5" ht="75">
      <c r="A69" s="40" t="s">
        <v>329</v>
      </c>
      <c r="B69" s="25" t="s">
        <v>328</v>
      </c>
      <c r="C69" s="10">
        <v>55275</v>
      </c>
      <c r="D69" s="10">
        <v>0</v>
      </c>
      <c r="E69" s="10">
        <v>0</v>
      </c>
    </row>
    <row r="70" spans="1:5" ht="18.75">
      <c r="A70" s="14" t="s">
        <v>20</v>
      </c>
      <c r="B70" s="17" t="s">
        <v>99</v>
      </c>
      <c r="C70" s="23">
        <f>C73+C76</f>
        <v>1264523.45</v>
      </c>
      <c r="D70" s="23">
        <f>D73+D76</f>
        <v>1110000</v>
      </c>
      <c r="E70" s="23">
        <f>E73+E76</f>
        <v>1110000</v>
      </c>
    </row>
    <row r="71" spans="1:5" ht="56.25">
      <c r="A71" s="40" t="s">
        <v>72</v>
      </c>
      <c r="B71" s="12" t="s">
        <v>187</v>
      </c>
      <c r="C71" s="26">
        <f aca="true" t="shared" si="7" ref="C71:E72">C72</f>
        <v>1254523.45</v>
      </c>
      <c r="D71" s="26">
        <f t="shared" si="7"/>
        <v>1100000</v>
      </c>
      <c r="E71" s="26">
        <f t="shared" si="7"/>
        <v>1100000</v>
      </c>
    </row>
    <row r="72" spans="1:5" ht="93.75">
      <c r="A72" s="40" t="s">
        <v>74</v>
      </c>
      <c r="B72" s="20" t="s">
        <v>188</v>
      </c>
      <c r="C72" s="26">
        <f t="shared" si="7"/>
        <v>1254523.45</v>
      </c>
      <c r="D72" s="26">
        <f t="shared" si="7"/>
        <v>1100000</v>
      </c>
      <c r="E72" s="26">
        <f t="shared" si="7"/>
        <v>1100000</v>
      </c>
    </row>
    <row r="73" spans="1:5" ht="93.75">
      <c r="A73" s="40" t="s">
        <v>21</v>
      </c>
      <c r="B73" s="20" t="s">
        <v>188</v>
      </c>
      <c r="C73" s="26">
        <f>1100000+4523.45+150000</f>
        <v>1254523.45</v>
      </c>
      <c r="D73" s="26">
        <v>1100000</v>
      </c>
      <c r="E73" s="26">
        <v>1100000</v>
      </c>
    </row>
    <row r="74" spans="1:5" ht="75">
      <c r="A74" s="40" t="s">
        <v>22</v>
      </c>
      <c r="B74" s="12" t="s">
        <v>189</v>
      </c>
      <c r="C74" s="18">
        <f aca="true" t="shared" si="8" ref="C74:E75">C75</f>
        <v>10000</v>
      </c>
      <c r="D74" s="18">
        <f t="shared" si="8"/>
        <v>10000</v>
      </c>
      <c r="E74" s="18">
        <f t="shared" si="8"/>
        <v>10000</v>
      </c>
    </row>
    <row r="75" spans="1:5" ht="56.25">
      <c r="A75" s="40" t="s">
        <v>75</v>
      </c>
      <c r="B75" s="20" t="s">
        <v>190</v>
      </c>
      <c r="C75" s="18">
        <f t="shared" si="8"/>
        <v>10000</v>
      </c>
      <c r="D75" s="18">
        <f t="shared" si="8"/>
        <v>10000</v>
      </c>
      <c r="E75" s="18">
        <f t="shared" si="8"/>
        <v>10000</v>
      </c>
    </row>
    <row r="76" spans="1:5" ht="56.25">
      <c r="A76" s="40" t="s">
        <v>92</v>
      </c>
      <c r="B76" s="20" t="s">
        <v>190</v>
      </c>
      <c r="C76" s="18">
        <v>10000</v>
      </c>
      <c r="D76" s="19">
        <v>10000</v>
      </c>
      <c r="E76" s="19">
        <v>10000</v>
      </c>
    </row>
    <row r="77" spans="1:5" ht="112.5">
      <c r="A77" s="14" t="s">
        <v>385</v>
      </c>
      <c r="B77" s="15" t="s">
        <v>384</v>
      </c>
      <c r="C77" s="16">
        <f>C78+C81+C84+C87</f>
        <v>442.76</v>
      </c>
      <c r="D77" s="16">
        <f>D78+D81+D84+D87</f>
        <v>0</v>
      </c>
      <c r="E77" s="16">
        <f>E78+E81+E84+E87</f>
        <v>0</v>
      </c>
    </row>
    <row r="78" spans="1:5" ht="75">
      <c r="A78" s="40" t="s">
        <v>386</v>
      </c>
      <c r="B78" s="20" t="s">
        <v>387</v>
      </c>
      <c r="C78" s="18">
        <f aca="true" t="shared" si="9" ref="C78:E79">C79</f>
        <v>159.9</v>
      </c>
      <c r="D78" s="18">
        <f t="shared" si="9"/>
        <v>0</v>
      </c>
      <c r="E78" s="18">
        <f t="shared" si="9"/>
        <v>0</v>
      </c>
    </row>
    <row r="79" spans="1:5" ht="93.75">
      <c r="A79" s="40" t="s">
        <v>388</v>
      </c>
      <c r="B79" s="20" t="s">
        <v>389</v>
      </c>
      <c r="C79" s="18">
        <f t="shared" si="9"/>
        <v>159.9</v>
      </c>
      <c r="D79" s="18">
        <f t="shared" si="9"/>
        <v>0</v>
      </c>
      <c r="E79" s="18">
        <f t="shared" si="9"/>
        <v>0</v>
      </c>
    </row>
    <row r="80" spans="1:5" ht="93.75">
      <c r="A80" s="40" t="s">
        <v>390</v>
      </c>
      <c r="B80" s="20" t="s">
        <v>389</v>
      </c>
      <c r="C80" s="18">
        <v>159.9</v>
      </c>
      <c r="D80" s="19">
        <v>0</v>
      </c>
      <c r="E80" s="19">
        <v>0</v>
      </c>
    </row>
    <row r="81" spans="1:5" ht="37.5">
      <c r="A81" s="40" t="s">
        <v>391</v>
      </c>
      <c r="B81" s="20" t="s">
        <v>392</v>
      </c>
      <c r="C81" s="18">
        <f aca="true" t="shared" si="10" ref="C81:E82">C82</f>
        <v>132.65</v>
      </c>
      <c r="D81" s="18">
        <f t="shared" si="10"/>
        <v>0</v>
      </c>
      <c r="E81" s="18">
        <f t="shared" si="10"/>
        <v>0</v>
      </c>
    </row>
    <row r="82" spans="1:5" ht="37.5">
      <c r="A82" s="40" t="s">
        <v>393</v>
      </c>
      <c r="B82" s="20" t="s">
        <v>394</v>
      </c>
      <c r="C82" s="18">
        <f t="shared" si="10"/>
        <v>132.65</v>
      </c>
      <c r="D82" s="18">
        <f t="shared" si="10"/>
        <v>0</v>
      </c>
      <c r="E82" s="18">
        <f t="shared" si="10"/>
        <v>0</v>
      </c>
    </row>
    <row r="83" spans="1:5" ht="37.5">
      <c r="A83" s="40" t="s">
        <v>395</v>
      </c>
      <c r="B83" s="20" t="s">
        <v>394</v>
      </c>
      <c r="C83" s="18">
        <v>132.65</v>
      </c>
      <c r="D83" s="19">
        <v>0</v>
      </c>
      <c r="E83" s="19">
        <v>0</v>
      </c>
    </row>
    <row r="84" spans="1:5" ht="75">
      <c r="A84" s="40" t="s">
        <v>396</v>
      </c>
      <c r="B84" s="20" t="s">
        <v>397</v>
      </c>
      <c r="C84" s="18">
        <f aca="true" t="shared" si="11" ref="C84:E85">C85</f>
        <v>103.85</v>
      </c>
      <c r="D84" s="18">
        <f t="shared" si="11"/>
        <v>0</v>
      </c>
      <c r="E84" s="18">
        <f t="shared" si="11"/>
        <v>0</v>
      </c>
    </row>
    <row r="85" spans="1:5" ht="37.5">
      <c r="A85" s="40" t="s">
        <v>398</v>
      </c>
      <c r="B85" s="20" t="s">
        <v>399</v>
      </c>
      <c r="C85" s="18">
        <f t="shared" si="11"/>
        <v>103.85</v>
      </c>
      <c r="D85" s="18">
        <f t="shared" si="11"/>
        <v>0</v>
      </c>
      <c r="E85" s="18">
        <f t="shared" si="11"/>
        <v>0</v>
      </c>
    </row>
    <row r="86" spans="1:5" ht="37.5">
      <c r="A86" s="40" t="s">
        <v>400</v>
      </c>
      <c r="B86" s="20" t="s">
        <v>399</v>
      </c>
      <c r="C86" s="18">
        <v>103.85</v>
      </c>
      <c r="D86" s="19">
        <v>0</v>
      </c>
      <c r="E86" s="19">
        <v>0</v>
      </c>
    </row>
    <row r="87" spans="1:5" ht="47.25" customHeight="1">
      <c r="A87" s="40" t="s">
        <v>401</v>
      </c>
      <c r="B87" s="20" t="s">
        <v>402</v>
      </c>
      <c r="C87" s="18">
        <f aca="true" t="shared" si="12" ref="C87:E89">C88</f>
        <v>46.36</v>
      </c>
      <c r="D87" s="18">
        <f t="shared" si="12"/>
        <v>0</v>
      </c>
      <c r="E87" s="18">
        <f t="shared" si="12"/>
        <v>0</v>
      </c>
    </row>
    <row r="88" spans="1:5" ht="112.5">
      <c r="A88" s="40" t="s">
        <v>403</v>
      </c>
      <c r="B88" s="20" t="s">
        <v>404</v>
      </c>
      <c r="C88" s="18">
        <f t="shared" si="12"/>
        <v>46.36</v>
      </c>
      <c r="D88" s="18">
        <f t="shared" si="12"/>
        <v>0</v>
      </c>
      <c r="E88" s="18">
        <f t="shared" si="12"/>
        <v>0</v>
      </c>
    </row>
    <row r="89" spans="1:5" ht="150">
      <c r="A89" s="40" t="s">
        <v>405</v>
      </c>
      <c r="B89" s="20" t="s">
        <v>406</v>
      </c>
      <c r="C89" s="18">
        <f t="shared" si="12"/>
        <v>46.36</v>
      </c>
      <c r="D89" s="18">
        <f t="shared" si="12"/>
        <v>0</v>
      </c>
      <c r="E89" s="18">
        <f t="shared" si="12"/>
        <v>0</v>
      </c>
    </row>
    <row r="90" spans="1:5" ht="150">
      <c r="A90" s="40" t="s">
        <v>407</v>
      </c>
      <c r="B90" s="20" t="s">
        <v>406</v>
      </c>
      <c r="C90" s="18">
        <v>46.36</v>
      </c>
      <c r="D90" s="19">
        <v>0</v>
      </c>
      <c r="E90" s="19">
        <v>0</v>
      </c>
    </row>
    <row r="91" spans="1:8" ht="93.75">
      <c r="A91" s="14" t="s">
        <v>23</v>
      </c>
      <c r="B91" s="17" t="s">
        <v>191</v>
      </c>
      <c r="C91" s="23">
        <f>C95+C92</f>
        <v>1474146.6099999999</v>
      </c>
      <c r="D91" s="23">
        <f>D95+D92</f>
        <v>1376082.25</v>
      </c>
      <c r="E91" s="23">
        <f>E95+E92</f>
        <v>1356206.75</v>
      </c>
      <c r="F91" s="7"/>
      <c r="G91" s="7"/>
      <c r="H91" s="7"/>
    </row>
    <row r="92" spans="1:8" ht="75">
      <c r="A92" s="22" t="s">
        <v>267</v>
      </c>
      <c r="B92" s="12" t="s">
        <v>268</v>
      </c>
      <c r="C92" s="10">
        <f aca="true" t="shared" si="13" ref="C92:E93">C93</f>
        <v>36279.18</v>
      </c>
      <c r="D92" s="10">
        <f t="shared" si="13"/>
        <v>30582.25</v>
      </c>
      <c r="E92" s="10">
        <f t="shared" si="13"/>
        <v>10706.75</v>
      </c>
      <c r="F92" s="7"/>
      <c r="G92" s="7"/>
      <c r="H92" s="7"/>
    </row>
    <row r="93" spans="1:8" ht="93.75">
      <c r="A93" s="22" t="s">
        <v>269</v>
      </c>
      <c r="B93" s="12" t="s">
        <v>270</v>
      </c>
      <c r="C93" s="10">
        <f t="shared" si="13"/>
        <v>36279.18</v>
      </c>
      <c r="D93" s="10">
        <f t="shared" si="13"/>
        <v>30582.25</v>
      </c>
      <c r="E93" s="10">
        <f t="shared" si="13"/>
        <v>10706.75</v>
      </c>
      <c r="F93" s="7"/>
      <c r="G93" s="7"/>
      <c r="H93" s="7"/>
    </row>
    <row r="94" spans="1:8" ht="93.75">
      <c r="A94" s="22" t="s">
        <v>271</v>
      </c>
      <c r="B94" s="12" t="s">
        <v>270</v>
      </c>
      <c r="C94" s="10">
        <v>36279.18</v>
      </c>
      <c r="D94" s="10">
        <v>30582.25</v>
      </c>
      <c r="E94" s="10">
        <v>10706.75</v>
      </c>
      <c r="F94" s="7"/>
      <c r="G94" s="7"/>
      <c r="H94" s="7"/>
    </row>
    <row r="95" spans="1:5" ht="187.5">
      <c r="A95" s="40" t="s">
        <v>24</v>
      </c>
      <c r="B95" s="20" t="s">
        <v>192</v>
      </c>
      <c r="C95" s="26">
        <f>C96+C101+C104</f>
        <v>1437867.43</v>
      </c>
      <c r="D95" s="26">
        <f>D96+D101+D104</f>
        <v>1345500</v>
      </c>
      <c r="E95" s="26">
        <f>E96+E101+E104</f>
        <v>1345500</v>
      </c>
    </row>
    <row r="96" spans="1:5" ht="131.25">
      <c r="A96" s="40" t="s">
        <v>41</v>
      </c>
      <c r="B96" s="20" t="s">
        <v>193</v>
      </c>
      <c r="C96" s="18">
        <f>C99+C97</f>
        <v>1358313.16</v>
      </c>
      <c r="D96" s="18">
        <f>D99+D97</f>
        <v>1298500</v>
      </c>
      <c r="E96" s="18">
        <f>E99+E97</f>
        <v>1298500</v>
      </c>
    </row>
    <row r="97" spans="1:5" ht="187.5">
      <c r="A97" s="40" t="s">
        <v>102</v>
      </c>
      <c r="B97" s="20" t="s">
        <v>194</v>
      </c>
      <c r="C97" s="18">
        <f>C98</f>
        <v>439689.79</v>
      </c>
      <c r="D97" s="18">
        <f>D98</f>
        <v>398500</v>
      </c>
      <c r="E97" s="18">
        <f>E98</f>
        <v>398500</v>
      </c>
    </row>
    <row r="98" spans="1:5" ht="187.5">
      <c r="A98" s="40" t="s">
        <v>103</v>
      </c>
      <c r="B98" s="20" t="s">
        <v>194</v>
      </c>
      <c r="C98" s="18">
        <f>398500+41189.79</f>
        <v>439689.79</v>
      </c>
      <c r="D98" s="18">
        <v>398500</v>
      </c>
      <c r="E98" s="18">
        <v>398500</v>
      </c>
    </row>
    <row r="99" spans="1:5" ht="168.75">
      <c r="A99" s="40" t="s">
        <v>88</v>
      </c>
      <c r="B99" s="27" t="s">
        <v>195</v>
      </c>
      <c r="C99" s="18">
        <f>C100</f>
        <v>918623.37</v>
      </c>
      <c r="D99" s="18">
        <f>D100</f>
        <v>900000</v>
      </c>
      <c r="E99" s="18">
        <f>E100</f>
        <v>900000</v>
      </c>
    </row>
    <row r="100" spans="1:5" ht="168.75">
      <c r="A100" s="40" t="s">
        <v>89</v>
      </c>
      <c r="B100" s="27" t="s">
        <v>195</v>
      </c>
      <c r="C100" s="18">
        <f>900000+100000-73743.8-7632.83</f>
        <v>918623.37</v>
      </c>
      <c r="D100" s="18">
        <v>900000</v>
      </c>
      <c r="E100" s="18">
        <v>900000</v>
      </c>
    </row>
    <row r="101" spans="1:5" ht="168.75">
      <c r="A101" s="40" t="s">
        <v>64</v>
      </c>
      <c r="B101" s="20" t="s">
        <v>62</v>
      </c>
      <c r="C101" s="18">
        <f aca="true" t="shared" si="14" ref="C101:E102">C102</f>
        <v>30687.47</v>
      </c>
      <c r="D101" s="18">
        <f t="shared" si="14"/>
        <v>30000</v>
      </c>
      <c r="E101" s="18">
        <f t="shared" si="14"/>
        <v>30000</v>
      </c>
    </row>
    <row r="102" spans="1:5" ht="150">
      <c r="A102" s="40" t="s">
        <v>76</v>
      </c>
      <c r="B102" s="20" t="s">
        <v>63</v>
      </c>
      <c r="C102" s="18">
        <f t="shared" si="14"/>
        <v>30687.47</v>
      </c>
      <c r="D102" s="18">
        <f t="shared" si="14"/>
        <v>30000</v>
      </c>
      <c r="E102" s="18">
        <f t="shared" si="14"/>
        <v>30000</v>
      </c>
    </row>
    <row r="103" spans="1:5" ht="150">
      <c r="A103" s="40" t="s">
        <v>61</v>
      </c>
      <c r="B103" s="20" t="s">
        <v>63</v>
      </c>
      <c r="C103" s="18">
        <f>30000+687.47</f>
        <v>30687.47</v>
      </c>
      <c r="D103" s="18">
        <v>30000</v>
      </c>
      <c r="E103" s="18">
        <v>30000</v>
      </c>
    </row>
    <row r="104" spans="1:5" ht="168.75">
      <c r="A104" s="40" t="s">
        <v>42</v>
      </c>
      <c r="B104" s="20" t="s">
        <v>196</v>
      </c>
      <c r="C104" s="19">
        <f aca="true" t="shared" si="15" ref="C104:E105">C105</f>
        <v>48866.8</v>
      </c>
      <c r="D104" s="19">
        <f t="shared" si="15"/>
        <v>17000</v>
      </c>
      <c r="E104" s="19">
        <f t="shared" si="15"/>
        <v>17000</v>
      </c>
    </row>
    <row r="105" spans="1:5" ht="131.25">
      <c r="A105" s="40" t="s">
        <v>77</v>
      </c>
      <c r="B105" s="20" t="s">
        <v>197</v>
      </c>
      <c r="C105" s="19">
        <f t="shared" si="15"/>
        <v>48866.8</v>
      </c>
      <c r="D105" s="19">
        <f t="shared" si="15"/>
        <v>17000</v>
      </c>
      <c r="E105" s="19">
        <f t="shared" si="15"/>
        <v>17000</v>
      </c>
    </row>
    <row r="106" spans="1:5" ht="131.25">
      <c r="A106" s="40" t="s">
        <v>25</v>
      </c>
      <c r="B106" s="20" t="s">
        <v>197</v>
      </c>
      <c r="C106" s="19">
        <f>17000+18468.8+7000+6398</f>
        <v>48866.8</v>
      </c>
      <c r="D106" s="19">
        <v>17000</v>
      </c>
      <c r="E106" s="19">
        <v>17000</v>
      </c>
    </row>
    <row r="107" spans="1:5" ht="37.5">
      <c r="A107" s="14" t="s">
        <v>26</v>
      </c>
      <c r="B107" s="17" t="s">
        <v>58</v>
      </c>
      <c r="C107" s="23">
        <f>C108</f>
        <v>314000</v>
      </c>
      <c r="D107" s="23">
        <f>D108</f>
        <v>169000</v>
      </c>
      <c r="E107" s="23">
        <f>E108</f>
        <v>169000</v>
      </c>
    </row>
    <row r="108" spans="1:5" ht="37.5">
      <c r="A108" s="40" t="s">
        <v>43</v>
      </c>
      <c r="B108" s="12" t="s">
        <v>198</v>
      </c>
      <c r="C108" s="10">
        <f>C109+C111+C113</f>
        <v>314000</v>
      </c>
      <c r="D108" s="10">
        <f>D109+D111+D113</f>
        <v>169000</v>
      </c>
      <c r="E108" s="10">
        <f>E109+E111+E113</f>
        <v>169000</v>
      </c>
    </row>
    <row r="109" spans="1:5" ht="56.25">
      <c r="A109" s="40" t="s">
        <v>78</v>
      </c>
      <c r="B109" s="12" t="s">
        <v>28</v>
      </c>
      <c r="C109" s="10">
        <f>C110</f>
        <v>10000</v>
      </c>
      <c r="D109" s="10">
        <f>D110</f>
        <v>21000</v>
      </c>
      <c r="E109" s="10">
        <f>E110</f>
        <v>21000</v>
      </c>
    </row>
    <row r="110" spans="1:5" ht="56.25">
      <c r="A110" s="40" t="s">
        <v>27</v>
      </c>
      <c r="B110" s="12" t="s">
        <v>28</v>
      </c>
      <c r="C110" s="10">
        <f>21000-7000-4000</f>
        <v>10000</v>
      </c>
      <c r="D110" s="10">
        <v>21000</v>
      </c>
      <c r="E110" s="10">
        <v>21000</v>
      </c>
    </row>
    <row r="111" spans="1:5" ht="37.5">
      <c r="A111" s="40" t="s">
        <v>79</v>
      </c>
      <c r="B111" s="12" t="s">
        <v>44</v>
      </c>
      <c r="C111" s="26">
        <f>C112</f>
        <v>1000</v>
      </c>
      <c r="D111" s="26">
        <f>D112</f>
        <v>18000</v>
      </c>
      <c r="E111" s="26">
        <f>E112</f>
        <v>18000</v>
      </c>
    </row>
    <row r="112" spans="1:5" ht="37.5">
      <c r="A112" s="40" t="s">
        <v>29</v>
      </c>
      <c r="B112" s="12" t="s">
        <v>44</v>
      </c>
      <c r="C112" s="26">
        <f>8000-6000-1000</f>
        <v>1000</v>
      </c>
      <c r="D112" s="19">
        <v>18000</v>
      </c>
      <c r="E112" s="19">
        <v>18000</v>
      </c>
    </row>
    <row r="113" spans="1:5" ht="37.5">
      <c r="A113" s="40" t="s">
        <v>80</v>
      </c>
      <c r="B113" s="12" t="s">
        <v>30</v>
      </c>
      <c r="C113" s="26">
        <f>C114+C116</f>
        <v>303000</v>
      </c>
      <c r="D113" s="26">
        <f>D114+D116</f>
        <v>130000</v>
      </c>
      <c r="E113" s="26">
        <f>E114+E116</f>
        <v>130000</v>
      </c>
    </row>
    <row r="114" spans="1:5" ht="37.5">
      <c r="A114" s="40" t="s">
        <v>138</v>
      </c>
      <c r="B114" s="12" t="s">
        <v>199</v>
      </c>
      <c r="C114" s="26">
        <f>C115</f>
        <v>133000</v>
      </c>
      <c r="D114" s="26">
        <f>D115</f>
        <v>130000</v>
      </c>
      <c r="E114" s="26">
        <f>E115</f>
        <v>130000</v>
      </c>
    </row>
    <row r="115" spans="1:5" ht="37.5">
      <c r="A115" s="40" t="s">
        <v>139</v>
      </c>
      <c r="B115" s="12" t="s">
        <v>199</v>
      </c>
      <c r="C115" s="26">
        <f>125000-67000+75000</f>
        <v>133000</v>
      </c>
      <c r="D115" s="19">
        <v>130000</v>
      </c>
      <c r="E115" s="19">
        <v>130000</v>
      </c>
    </row>
    <row r="116" spans="1:5" ht="37.5">
      <c r="A116" s="40" t="s">
        <v>149</v>
      </c>
      <c r="B116" s="12" t="s">
        <v>200</v>
      </c>
      <c r="C116" s="26">
        <f>C117</f>
        <v>170000</v>
      </c>
      <c r="D116" s="26">
        <f>D117</f>
        <v>0</v>
      </c>
      <c r="E116" s="26">
        <f>E117</f>
        <v>0</v>
      </c>
    </row>
    <row r="117" spans="1:5" ht="37.5">
      <c r="A117" s="40" t="s">
        <v>150</v>
      </c>
      <c r="B117" s="12" t="s">
        <v>200</v>
      </c>
      <c r="C117" s="26">
        <f>10000+80000+80000</f>
        <v>170000</v>
      </c>
      <c r="D117" s="19">
        <v>0</v>
      </c>
      <c r="E117" s="19">
        <v>0</v>
      </c>
    </row>
    <row r="118" spans="1:5" ht="75">
      <c r="A118" s="14" t="s">
        <v>31</v>
      </c>
      <c r="B118" s="15" t="s">
        <v>201</v>
      </c>
      <c r="C118" s="23">
        <f>C119+C124</f>
        <v>627806.86</v>
      </c>
      <c r="D118" s="23">
        <f>D119+D124</f>
        <v>519000</v>
      </c>
      <c r="E118" s="23">
        <f>E119+E124</f>
        <v>519000</v>
      </c>
    </row>
    <row r="119" spans="1:5" ht="37.5">
      <c r="A119" s="40" t="s">
        <v>45</v>
      </c>
      <c r="B119" s="20" t="s">
        <v>202</v>
      </c>
      <c r="C119" s="10">
        <f aca="true" t="shared" si="16" ref="C119:E120">C120</f>
        <v>506750</v>
      </c>
      <c r="D119" s="10">
        <f t="shared" si="16"/>
        <v>509000</v>
      </c>
      <c r="E119" s="10">
        <f t="shared" si="16"/>
        <v>509000</v>
      </c>
    </row>
    <row r="120" spans="1:5" ht="37.5">
      <c r="A120" s="40" t="s">
        <v>46</v>
      </c>
      <c r="B120" s="20" t="s">
        <v>203</v>
      </c>
      <c r="C120" s="10">
        <f t="shared" si="16"/>
        <v>506750</v>
      </c>
      <c r="D120" s="10">
        <f t="shared" si="16"/>
        <v>509000</v>
      </c>
      <c r="E120" s="10">
        <f t="shared" si="16"/>
        <v>509000</v>
      </c>
    </row>
    <row r="121" spans="1:5" ht="56.25">
      <c r="A121" s="40" t="s">
        <v>32</v>
      </c>
      <c r="B121" s="20" t="s">
        <v>204</v>
      </c>
      <c r="C121" s="10">
        <f>SUM(C122:C123)</f>
        <v>506750</v>
      </c>
      <c r="D121" s="10">
        <f>SUM(D122:D123)</f>
        <v>509000</v>
      </c>
      <c r="E121" s="10">
        <f>SUM(E122:E123)</f>
        <v>509000</v>
      </c>
    </row>
    <row r="122" spans="1:5" ht="56.25">
      <c r="A122" s="40" t="s">
        <v>33</v>
      </c>
      <c r="B122" s="20" t="s">
        <v>204</v>
      </c>
      <c r="C122" s="18">
        <f>13000-4000-2250</f>
        <v>6750</v>
      </c>
      <c r="D122" s="19">
        <v>9000</v>
      </c>
      <c r="E122" s="19">
        <v>9000</v>
      </c>
    </row>
    <row r="123" spans="1:5" ht="56.25">
      <c r="A123" s="40" t="s">
        <v>34</v>
      </c>
      <c r="B123" s="20" t="s">
        <v>204</v>
      </c>
      <c r="C123" s="18">
        <v>500000</v>
      </c>
      <c r="D123" s="18">
        <v>500000</v>
      </c>
      <c r="E123" s="18">
        <v>500000</v>
      </c>
    </row>
    <row r="124" spans="1:5" ht="37.5">
      <c r="A124" s="40" t="s">
        <v>84</v>
      </c>
      <c r="B124" s="12" t="s">
        <v>205</v>
      </c>
      <c r="C124" s="18">
        <f aca="true" t="shared" si="17" ref="C124:E125">C125</f>
        <v>121056.86</v>
      </c>
      <c r="D124" s="18">
        <f t="shared" si="17"/>
        <v>10000</v>
      </c>
      <c r="E124" s="18">
        <f t="shared" si="17"/>
        <v>10000</v>
      </c>
    </row>
    <row r="125" spans="1:5" ht="37.5">
      <c r="A125" s="28" t="s">
        <v>85</v>
      </c>
      <c r="B125" s="12" t="s">
        <v>206</v>
      </c>
      <c r="C125" s="18">
        <f t="shared" si="17"/>
        <v>121056.86</v>
      </c>
      <c r="D125" s="18">
        <f t="shared" si="17"/>
        <v>10000</v>
      </c>
      <c r="E125" s="18">
        <f t="shared" si="17"/>
        <v>10000</v>
      </c>
    </row>
    <row r="126" spans="1:5" ht="37.5">
      <c r="A126" s="28" t="s">
        <v>86</v>
      </c>
      <c r="B126" s="12" t="s">
        <v>95</v>
      </c>
      <c r="C126" s="18">
        <f>SUM(C127:C128)</f>
        <v>121056.86</v>
      </c>
      <c r="D126" s="18">
        <f>SUM(D128:D128)</f>
        <v>10000</v>
      </c>
      <c r="E126" s="18">
        <f>SUM(E128:E128)</f>
        <v>10000</v>
      </c>
    </row>
    <row r="127" spans="1:5" ht="37.5">
      <c r="A127" s="28" t="s">
        <v>272</v>
      </c>
      <c r="B127" s="12" t="s">
        <v>95</v>
      </c>
      <c r="C127" s="18">
        <v>5423.31</v>
      </c>
      <c r="D127" s="18">
        <v>0</v>
      </c>
      <c r="E127" s="18">
        <v>0</v>
      </c>
    </row>
    <row r="128" spans="1:5" ht="37.5">
      <c r="A128" s="28" t="s">
        <v>100</v>
      </c>
      <c r="B128" s="12" t="s">
        <v>95</v>
      </c>
      <c r="C128" s="18">
        <f>10000+105633.55</f>
        <v>115633.55</v>
      </c>
      <c r="D128" s="18">
        <v>10000</v>
      </c>
      <c r="E128" s="18">
        <v>10000</v>
      </c>
    </row>
    <row r="129" spans="1:5" ht="56.25">
      <c r="A129" s="14" t="s">
        <v>35</v>
      </c>
      <c r="B129" s="17" t="s">
        <v>207</v>
      </c>
      <c r="C129" s="23">
        <f>C130+C134</f>
        <v>833426</v>
      </c>
      <c r="D129" s="23">
        <f>D130+D134</f>
        <v>270000</v>
      </c>
      <c r="E129" s="23">
        <f>E130+E134</f>
        <v>270000</v>
      </c>
    </row>
    <row r="130" spans="1:5" ht="168.75">
      <c r="A130" s="40" t="s">
        <v>36</v>
      </c>
      <c r="B130" s="20" t="s">
        <v>208</v>
      </c>
      <c r="C130" s="18">
        <f>C131</f>
        <v>644550</v>
      </c>
      <c r="D130" s="18">
        <f aca="true" t="shared" si="18" ref="D130:E132">D131</f>
        <v>200000</v>
      </c>
      <c r="E130" s="18">
        <f t="shared" si="18"/>
        <v>200000</v>
      </c>
    </row>
    <row r="131" spans="1:5" ht="187.5">
      <c r="A131" s="40" t="s">
        <v>81</v>
      </c>
      <c r="B131" s="20" t="s">
        <v>209</v>
      </c>
      <c r="C131" s="18">
        <f>C132</f>
        <v>644550</v>
      </c>
      <c r="D131" s="18">
        <f t="shared" si="18"/>
        <v>200000</v>
      </c>
      <c r="E131" s="18">
        <f t="shared" si="18"/>
        <v>200000</v>
      </c>
    </row>
    <row r="132" spans="1:5" ht="187.5">
      <c r="A132" s="40" t="s">
        <v>82</v>
      </c>
      <c r="B132" s="20" t="s">
        <v>210</v>
      </c>
      <c r="C132" s="18">
        <f>C133</f>
        <v>644550</v>
      </c>
      <c r="D132" s="18">
        <f t="shared" si="18"/>
        <v>200000</v>
      </c>
      <c r="E132" s="18">
        <f t="shared" si="18"/>
        <v>200000</v>
      </c>
    </row>
    <row r="133" spans="1:5" ht="187.5">
      <c r="A133" s="40" t="s">
        <v>37</v>
      </c>
      <c r="B133" s="20" t="s">
        <v>210</v>
      </c>
      <c r="C133" s="18">
        <f>200000+444550</f>
        <v>644550</v>
      </c>
      <c r="D133" s="18">
        <v>200000</v>
      </c>
      <c r="E133" s="18">
        <v>200000</v>
      </c>
    </row>
    <row r="134" spans="1:5" ht="75">
      <c r="A134" s="40" t="s">
        <v>38</v>
      </c>
      <c r="B134" s="12" t="s">
        <v>211</v>
      </c>
      <c r="C134" s="26">
        <f>C135</f>
        <v>188876</v>
      </c>
      <c r="D134" s="26">
        <f>D135</f>
        <v>70000</v>
      </c>
      <c r="E134" s="26">
        <f>E135</f>
        <v>70000</v>
      </c>
    </row>
    <row r="135" spans="1:5" ht="75">
      <c r="A135" s="40" t="s">
        <v>47</v>
      </c>
      <c r="B135" s="25" t="s">
        <v>106</v>
      </c>
      <c r="C135" s="26">
        <f>C138+C136</f>
        <v>188876</v>
      </c>
      <c r="D135" s="26">
        <f>D138+D136</f>
        <v>70000</v>
      </c>
      <c r="E135" s="26">
        <f>E138+E136</f>
        <v>70000</v>
      </c>
    </row>
    <row r="136" spans="1:5" ht="131.25">
      <c r="A136" s="40" t="s">
        <v>104</v>
      </c>
      <c r="B136" s="12" t="s">
        <v>212</v>
      </c>
      <c r="C136" s="26">
        <f>C137</f>
        <v>15000</v>
      </c>
      <c r="D136" s="26">
        <f>D137</f>
        <v>30000</v>
      </c>
      <c r="E136" s="26">
        <f>E137</f>
        <v>30000</v>
      </c>
    </row>
    <row r="137" spans="1:5" ht="131.25">
      <c r="A137" s="40" t="s">
        <v>105</v>
      </c>
      <c r="B137" s="12" t="s">
        <v>212</v>
      </c>
      <c r="C137" s="26">
        <f>30000-15000</f>
        <v>15000</v>
      </c>
      <c r="D137" s="26">
        <v>30000</v>
      </c>
      <c r="E137" s="26">
        <v>30000</v>
      </c>
    </row>
    <row r="138" spans="1:5" ht="93.75">
      <c r="A138" s="40" t="s">
        <v>91</v>
      </c>
      <c r="B138" s="25" t="s">
        <v>213</v>
      </c>
      <c r="C138" s="26">
        <f>C139</f>
        <v>173876</v>
      </c>
      <c r="D138" s="26">
        <f>D139</f>
        <v>40000</v>
      </c>
      <c r="E138" s="26">
        <f>E139</f>
        <v>40000</v>
      </c>
    </row>
    <row r="139" spans="1:5" ht="93.75">
      <c r="A139" s="40" t="s">
        <v>90</v>
      </c>
      <c r="B139" s="25" t="s">
        <v>213</v>
      </c>
      <c r="C139" s="26">
        <f>40000+17476+116400</f>
        <v>173876</v>
      </c>
      <c r="D139" s="19">
        <v>40000</v>
      </c>
      <c r="E139" s="19">
        <v>40000</v>
      </c>
    </row>
    <row r="140" spans="1:5" ht="37.5">
      <c r="A140" s="14" t="s">
        <v>39</v>
      </c>
      <c r="B140" s="17" t="s">
        <v>214</v>
      </c>
      <c r="C140" s="23">
        <f>C141+C173+C177</f>
        <v>404000</v>
      </c>
      <c r="D140" s="23">
        <f>D141+D173+D177</f>
        <v>504000</v>
      </c>
      <c r="E140" s="23">
        <f>E141+E173+E177</f>
        <v>504000</v>
      </c>
    </row>
    <row r="141" spans="1:5" ht="75">
      <c r="A141" s="40" t="s">
        <v>164</v>
      </c>
      <c r="B141" s="12" t="s">
        <v>215</v>
      </c>
      <c r="C141" s="10">
        <f>C146+C149+C152+C155+C158+C161+C169+C142+C164</f>
        <v>170550</v>
      </c>
      <c r="D141" s="10">
        <f>D146+D149+D152+D155+D158+D161+D169+D142+D164</f>
        <v>287000</v>
      </c>
      <c r="E141" s="10">
        <f>E146+E149+E152+E155+E158+E161+E169+E142+E164</f>
        <v>287000</v>
      </c>
    </row>
    <row r="142" spans="1:5" ht="131.25">
      <c r="A142" s="40" t="s">
        <v>368</v>
      </c>
      <c r="B142" s="12" t="s">
        <v>375</v>
      </c>
      <c r="C142" s="10">
        <f>C143</f>
        <v>1222</v>
      </c>
      <c r="D142" s="10">
        <f>D143</f>
        <v>0</v>
      </c>
      <c r="E142" s="10">
        <f>E143</f>
        <v>0</v>
      </c>
    </row>
    <row r="143" spans="1:5" ht="18.75">
      <c r="A143" s="40" t="s">
        <v>369</v>
      </c>
      <c r="B143" s="12" t="s">
        <v>376</v>
      </c>
      <c r="C143" s="10">
        <f>SUM(C144+C145)</f>
        <v>1222</v>
      </c>
      <c r="D143" s="10">
        <f>SUM(D144+D145)</f>
        <v>0</v>
      </c>
      <c r="E143" s="10">
        <f>SUM(E144+E145)</f>
        <v>0</v>
      </c>
    </row>
    <row r="144" spans="1:5" ht="18.75">
      <c r="A144" s="40" t="s">
        <v>370</v>
      </c>
      <c r="B144" s="12" t="s">
        <v>376</v>
      </c>
      <c r="C144" s="10">
        <f>50+672</f>
        <v>722</v>
      </c>
      <c r="D144" s="10">
        <v>0</v>
      </c>
      <c r="E144" s="10">
        <v>0</v>
      </c>
    </row>
    <row r="145" spans="1:5" ht="18.75">
      <c r="A145" s="40" t="s">
        <v>371</v>
      </c>
      <c r="B145" s="12" t="s">
        <v>376</v>
      </c>
      <c r="C145" s="10">
        <v>500</v>
      </c>
      <c r="D145" s="10">
        <v>0</v>
      </c>
      <c r="E145" s="10">
        <v>0</v>
      </c>
    </row>
    <row r="146" spans="1:5" ht="168.75">
      <c r="A146" s="40" t="s">
        <v>165</v>
      </c>
      <c r="B146" s="12" t="s">
        <v>380</v>
      </c>
      <c r="C146" s="10">
        <f aca="true" t="shared" si="19" ref="C146:E147">C147</f>
        <v>5578</v>
      </c>
      <c r="D146" s="10">
        <f t="shared" si="19"/>
        <v>12000</v>
      </c>
      <c r="E146" s="10">
        <f t="shared" si="19"/>
        <v>12000</v>
      </c>
    </row>
    <row r="147" spans="1:5" ht="206.25">
      <c r="A147" s="40" t="s">
        <v>166</v>
      </c>
      <c r="B147" s="35" t="s">
        <v>381</v>
      </c>
      <c r="C147" s="10">
        <f t="shared" si="19"/>
        <v>5578</v>
      </c>
      <c r="D147" s="10">
        <f t="shared" si="19"/>
        <v>12000</v>
      </c>
      <c r="E147" s="10">
        <f t="shared" si="19"/>
        <v>12000</v>
      </c>
    </row>
    <row r="148" spans="1:5" ht="206.25">
      <c r="A148" s="40" t="s">
        <v>157</v>
      </c>
      <c r="B148" s="35" t="s">
        <v>381</v>
      </c>
      <c r="C148" s="10">
        <f>12000-2200-3550-672</f>
        <v>5578</v>
      </c>
      <c r="D148" s="10">
        <v>12000</v>
      </c>
      <c r="E148" s="10">
        <v>12000</v>
      </c>
    </row>
    <row r="149" spans="1:5" ht="131.25">
      <c r="A149" s="40" t="s">
        <v>330</v>
      </c>
      <c r="B149" s="12" t="s">
        <v>331</v>
      </c>
      <c r="C149" s="10">
        <f aca="true" t="shared" si="20" ref="C149:E150">C150</f>
        <v>1500</v>
      </c>
      <c r="D149" s="10">
        <f t="shared" si="20"/>
        <v>0</v>
      </c>
      <c r="E149" s="10">
        <f t="shared" si="20"/>
        <v>0</v>
      </c>
    </row>
    <row r="150" spans="1:5" ht="187.5">
      <c r="A150" s="40" t="s">
        <v>332</v>
      </c>
      <c r="B150" s="35" t="s">
        <v>333</v>
      </c>
      <c r="C150" s="10">
        <f t="shared" si="20"/>
        <v>1500</v>
      </c>
      <c r="D150" s="10">
        <f t="shared" si="20"/>
        <v>0</v>
      </c>
      <c r="E150" s="10">
        <f t="shared" si="20"/>
        <v>0</v>
      </c>
    </row>
    <row r="151" spans="1:5" ht="187.5">
      <c r="A151" s="40" t="s">
        <v>334</v>
      </c>
      <c r="B151" s="35" t="s">
        <v>333</v>
      </c>
      <c r="C151" s="10">
        <f>500+1000</f>
        <v>1500</v>
      </c>
      <c r="D151" s="10">
        <v>0</v>
      </c>
      <c r="E151" s="10">
        <v>0</v>
      </c>
    </row>
    <row r="152" spans="1:5" ht="150">
      <c r="A152" s="40" t="s">
        <v>335</v>
      </c>
      <c r="B152" s="12" t="s">
        <v>336</v>
      </c>
      <c r="C152" s="10">
        <f aca="true" t="shared" si="21" ref="C152:E153">C153</f>
        <v>250</v>
      </c>
      <c r="D152" s="10">
        <f t="shared" si="21"/>
        <v>0</v>
      </c>
      <c r="E152" s="10">
        <f t="shared" si="21"/>
        <v>0</v>
      </c>
    </row>
    <row r="153" spans="1:5" ht="206.25">
      <c r="A153" s="40" t="s">
        <v>337</v>
      </c>
      <c r="B153" s="35" t="s">
        <v>338</v>
      </c>
      <c r="C153" s="10">
        <f t="shared" si="21"/>
        <v>250</v>
      </c>
      <c r="D153" s="10">
        <f t="shared" si="21"/>
        <v>0</v>
      </c>
      <c r="E153" s="10">
        <f t="shared" si="21"/>
        <v>0</v>
      </c>
    </row>
    <row r="154" spans="1:5" ht="206.25">
      <c r="A154" s="40" t="s">
        <v>339</v>
      </c>
      <c r="B154" s="35" t="s">
        <v>338</v>
      </c>
      <c r="C154" s="10">
        <v>250</v>
      </c>
      <c r="D154" s="10">
        <v>0</v>
      </c>
      <c r="E154" s="10">
        <v>0</v>
      </c>
    </row>
    <row r="155" spans="1:5" ht="150">
      <c r="A155" s="40" t="s">
        <v>340</v>
      </c>
      <c r="B155" s="12" t="s">
        <v>341</v>
      </c>
      <c r="C155" s="10">
        <f aca="true" t="shared" si="22" ref="C155:E156">C156</f>
        <v>3000</v>
      </c>
      <c r="D155" s="10">
        <f t="shared" si="22"/>
        <v>0</v>
      </c>
      <c r="E155" s="10">
        <f t="shared" si="22"/>
        <v>0</v>
      </c>
    </row>
    <row r="156" spans="1:5" ht="187.5">
      <c r="A156" s="40" t="s">
        <v>342</v>
      </c>
      <c r="B156" s="35" t="s">
        <v>343</v>
      </c>
      <c r="C156" s="10">
        <f t="shared" si="22"/>
        <v>3000</v>
      </c>
      <c r="D156" s="10">
        <f t="shared" si="22"/>
        <v>0</v>
      </c>
      <c r="E156" s="10">
        <f t="shared" si="22"/>
        <v>0</v>
      </c>
    </row>
    <row r="157" spans="1:5" ht="187.5">
      <c r="A157" s="40" t="s">
        <v>344</v>
      </c>
      <c r="B157" s="35" t="s">
        <v>343</v>
      </c>
      <c r="C157" s="10">
        <f>1000+2000</f>
        <v>3000</v>
      </c>
      <c r="D157" s="10">
        <v>0</v>
      </c>
      <c r="E157" s="10">
        <v>0</v>
      </c>
    </row>
    <row r="158" spans="1:5" ht="150">
      <c r="A158" s="40" t="s">
        <v>345</v>
      </c>
      <c r="B158" s="12" t="s">
        <v>346</v>
      </c>
      <c r="C158" s="10">
        <f aca="true" t="shared" si="23" ref="C158:E159">C159</f>
        <v>600</v>
      </c>
      <c r="D158" s="10">
        <f t="shared" si="23"/>
        <v>0</v>
      </c>
      <c r="E158" s="10">
        <f t="shared" si="23"/>
        <v>0</v>
      </c>
    </row>
    <row r="159" spans="1:5" ht="262.5">
      <c r="A159" s="40" t="s">
        <v>347</v>
      </c>
      <c r="B159" s="35" t="s">
        <v>348</v>
      </c>
      <c r="C159" s="10">
        <f t="shared" si="23"/>
        <v>600</v>
      </c>
      <c r="D159" s="10">
        <f t="shared" si="23"/>
        <v>0</v>
      </c>
      <c r="E159" s="10">
        <f t="shared" si="23"/>
        <v>0</v>
      </c>
    </row>
    <row r="160" spans="1:5" ht="262.5">
      <c r="A160" s="40" t="s">
        <v>349</v>
      </c>
      <c r="B160" s="35" t="s">
        <v>348</v>
      </c>
      <c r="C160" s="10">
        <f>450+150</f>
        <v>600</v>
      </c>
      <c r="D160" s="10">
        <v>0</v>
      </c>
      <c r="E160" s="10">
        <v>0</v>
      </c>
    </row>
    <row r="161" spans="1:5" ht="225">
      <c r="A161" s="40" t="s">
        <v>350</v>
      </c>
      <c r="B161" s="35" t="s">
        <v>351</v>
      </c>
      <c r="C161" s="10">
        <f aca="true" t="shared" si="24" ref="C161:E162">C162</f>
        <v>2000</v>
      </c>
      <c r="D161" s="10">
        <f t="shared" si="24"/>
        <v>0</v>
      </c>
      <c r="E161" s="10">
        <f t="shared" si="24"/>
        <v>0</v>
      </c>
    </row>
    <row r="162" spans="1:5" ht="281.25">
      <c r="A162" s="40" t="s">
        <v>352</v>
      </c>
      <c r="B162" s="35" t="s">
        <v>353</v>
      </c>
      <c r="C162" s="10">
        <f t="shared" si="24"/>
        <v>2000</v>
      </c>
      <c r="D162" s="10">
        <f t="shared" si="24"/>
        <v>0</v>
      </c>
      <c r="E162" s="10">
        <f t="shared" si="24"/>
        <v>0</v>
      </c>
    </row>
    <row r="163" spans="1:5" ht="281.25">
      <c r="A163" s="40" t="s">
        <v>354</v>
      </c>
      <c r="B163" s="35" t="s">
        <v>353</v>
      </c>
      <c r="C163" s="10">
        <v>2000</v>
      </c>
      <c r="D163" s="10">
        <v>0</v>
      </c>
      <c r="E163" s="10">
        <v>0</v>
      </c>
    </row>
    <row r="164" spans="1:5" ht="112.5">
      <c r="A164" s="40" t="s">
        <v>167</v>
      </c>
      <c r="B164" s="35" t="s">
        <v>382</v>
      </c>
      <c r="C164" s="10">
        <f>C165</f>
        <v>147540</v>
      </c>
      <c r="D164" s="10">
        <f>D165</f>
        <v>275000</v>
      </c>
      <c r="E164" s="10">
        <f>E165</f>
        <v>275000</v>
      </c>
    </row>
    <row r="165" spans="1:5" ht="168.75">
      <c r="A165" s="40" t="s">
        <v>163</v>
      </c>
      <c r="B165" s="35" t="s">
        <v>383</v>
      </c>
      <c r="C165" s="10">
        <f>SUM(C166:C168)</f>
        <v>147540</v>
      </c>
      <c r="D165" s="10">
        <f>SUM(D166:D168)</f>
        <v>275000</v>
      </c>
      <c r="E165" s="10">
        <f>SUM(E166:E168)</f>
        <v>275000</v>
      </c>
    </row>
    <row r="166" spans="1:5" ht="168.75">
      <c r="A166" s="40" t="s">
        <v>372</v>
      </c>
      <c r="B166" s="35" t="s">
        <v>383</v>
      </c>
      <c r="C166" s="10">
        <f>6000+1500</f>
        <v>7500</v>
      </c>
      <c r="D166" s="10">
        <v>0</v>
      </c>
      <c r="E166" s="10">
        <v>0</v>
      </c>
    </row>
    <row r="167" spans="1:5" ht="168.75">
      <c r="A167" s="40" t="s">
        <v>158</v>
      </c>
      <c r="B167" s="35" t="s">
        <v>383</v>
      </c>
      <c r="C167" s="10">
        <f>270000-23000-10310-101650</f>
        <v>135040</v>
      </c>
      <c r="D167" s="10">
        <v>270000</v>
      </c>
      <c r="E167" s="10">
        <v>270000</v>
      </c>
    </row>
    <row r="168" spans="1:5" ht="168.75">
      <c r="A168" s="40" t="s">
        <v>159</v>
      </c>
      <c r="B168" s="35" t="s">
        <v>383</v>
      </c>
      <c r="C168" s="10">
        <v>5000</v>
      </c>
      <c r="D168" s="10">
        <v>5000</v>
      </c>
      <c r="E168" s="10">
        <v>5000</v>
      </c>
    </row>
    <row r="169" spans="1:5" ht="150">
      <c r="A169" s="40" t="s">
        <v>355</v>
      </c>
      <c r="B169" s="12" t="s">
        <v>356</v>
      </c>
      <c r="C169" s="10">
        <f>C170</f>
        <v>8860</v>
      </c>
      <c r="D169" s="10">
        <f>D170</f>
        <v>0</v>
      </c>
      <c r="E169" s="10">
        <f>E170</f>
        <v>0</v>
      </c>
    </row>
    <row r="170" spans="1:5" ht="206.25">
      <c r="A170" s="40" t="s">
        <v>357</v>
      </c>
      <c r="B170" s="35" t="s">
        <v>358</v>
      </c>
      <c r="C170" s="10">
        <f>SUM(C171:C172)</f>
        <v>8860</v>
      </c>
      <c r="D170" s="10">
        <f>SUM(D171:D172)</f>
        <v>0</v>
      </c>
      <c r="E170" s="10">
        <f>SUM(E171:E172)</f>
        <v>0</v>
      </c>
    </row>
    <row r="171" spans="1:5" ht="206.25">
      <c r="A171" s="40" t="s">
        <v>359</v>
      </c>
      <c r="B171" s="35" t="s">
        <v>358</v>
      </c>
      <c r="C171" s="10">
        <f>1250+1310+1750</f>
        <v>4310</v>
      </c>
      <c r="D171" s="10">
        <v>0</v>
      </c>
      <c r="E171" s="10">
        <v>0</v>
      </c>
    </row>
    <row r="172" spans="1:5" ht="206.25">
      <c r="A172" s="40" t="s">
        <v>360</v>
      </c>
      <c r="B172" s="35" t="s">
        <v>358</v>
      </c>
      <c r="C172" s="10">
        <f>550+3000+1000</f>
        <v>4550</v>
      </c>
      <c r="D172" s="10">
        <v>0</v>
      </c>
      <c r="E172" s="10">
        <v>0</v>
      </c>
    </row>
    <row r="173" spans="1:5" ht="171.75" customHeight="1">
      <c r="A173" s="40" t="s">
        <v>169</v>
      </c>
      <c r="B173" s="12" t="s">
        <v>415</v>
      </c>
      <c r="C173" s="10">
        <f>C174</f>
        <v>73200</v>
      </c>
      <c r="D173" s="10">
        <f>D174</f>
        <v>77000</v>
      </c>
      <c r="E173" s="10">
        <f>E174</f>
        <v>77000</v>
      </c>
    </row>
    <row r="174" spans="1:5" ht="131.25">
      <c r="A174" s="40" t="s">
        <v>168</v>
      </c>
      <c r="B174" s="13" t="s">
        <v>216</v>
      </c>
      <c r="C174" s="11">
        <f>SUM(C175:C176)</f>
        <v>73200</v>
      </c>
      <c r="D174" s="11">
        <f>SUM(D175:D176)</f>
        <v>77000</v>
      </c>
      <c r="E174" s="11">
        <f>SUM(E175:E176)</f>
        <v>77000</v>
      </c>
    </row>
    <row r="175" spans="1:5" ht="131.25">
      <c r="A175" s="40" t="s">
        <v>160</v>
      </c>
      <c r="B175" s="13" t="s">
        <v>216</v>
      </c>
      <c r="C175" s="11">
        <f>59000-3800</f>
        <v>55200</v>
      </c>
      <c r="D175" s="11">
        <v>59000</v>
      </c>
      <c r="E175" s="11">
        <v>59000</v>
      </c>
    </row>
    <row r="176" spans="1:5" ht="131.25">
      <c r="A176" s="40" t="s">
        <v>161</v>
      </c>
      <c r="B176" s="13" t="s">
        <v>216</v>
      </c>
      <c r="C176" s="11">
        <v>18000</v>
      </c>
      <c r="D176" s="11">
        <v>18000</v>
      </c>
      <c r="E176" s="11">
        <v>18000</v>
      </c>
    </row>
    <row r="177" spans="1:5" ht="37.5">
      <c r="A177" s="40" t="s">
        <v>170</v>
      </c>
      <c r="B177" s="13" t="s">
        <v>217</v>
      </c>
      <c r="C177" s="11">
        <f>C178+C181</f>
        <v>160250</v>
      </c>
      <c r="D177" s="11">
        <f>D178+D181</f>
        <v>140000</v>
      </c>
      <c r="E177" s="11">
        <f>E178+E181</f>
        <v>140000</v>
      </c>
    </row>
    <row r="178" spans="1:5" ht="177" customHeight="1">
      <c r="A178" s="40" t="s">
        <v>171</v>
      </c>
      <c r="B178" s="13" t="s">
        <v>218</v>
      </c>
      <c r="C178" s="11">
        <f aca="true" t="shared" si="25" ref="C178:E179">C179</f>
        <v>58128.21</v>
      </c>
      <c r="D178" s="11">
        <f t="shared" si="25"/>
        <v>140000</v>
      </c>
      <c r="E178" s="11">
        <f t="shared" si="25"/>
        <v>140000</v>
      </c>
    </row>
    <row r="179" spans="1:5" ht="150">
      <c r="A179" s="40" t="s">
        <v>172</v>
      </c>
      <c r="B179" s="13" t="s">
        <v>219</v>
      </c>
      <c r="C179" s="11">
        <f t="shared" si="25"/>
        <v>58128.21</v>
      </c>
      <c r="D179" s="11">
        <f t="shared" si="25"/>
        <v>140000</v>
      </c>
      <c r="E179" s="11">
        <f t="shared" si="25"/>
        <v>140000</v>
      </c>
    </row>
    <row r="180" spans="1:5" ht="150">
      <c r="A180" s="40" t="s">
        <v>162</v>
      </c>
      <c r="B180" s="13" t="s">
        <v>219</v>
      </c>
      <c r="C180" s="11">
        <f>140000-70250-5100-6521.79</f>
        <v>58128.21</v>
      </c>
      <c r="D180" s="11">
        <v>140000</v>
      </c>
      <c r="E180" s="11">
        <v>140000</v>
      </c>
    </row>
    <row r="181" spans="1:5" ht="168.75">
      <c r="A181" s="40" t="s">
        <v>306</v>
      </c>
      <c r="B181" s="20" t="s">
        <v>307</v>
      </c>
      <c r="C181" s="11">
        <f>C182+C188</f>
        <v>102121.79</v>
      </c>
      <c r="D181" s="11">
        <f aca="true" t="shared" si="26" ref="C181:E182">D182</f>
        <v>0</v>
      </c>
      <c r="E181" s="11">
        <f t="shared" si="26"/>
        <v>0</v>
      </c>
    </row>
    <row r="182" spans="1:5" ht="168.75">
      <c r="A182" s="40" t="s">
        <v>308</v>
      </c>
      <c r="B182" s="20" t="s">
        <v>309</v>
      </c>
      <c r="C182" s="11">
        <f t="shared" si="26"/>
        <v>101871.79</v>
      </c>
      <c r="D182" s="11">
        <f t="shared" si="26"/>
        <v>0</v>
      </c>
      <c r="E182" s="11">
        <f t="shared" si="26"/>
        <v>0</v>
      </c>
    </row>
    <row r="183" spans="1:5" ht="300">
      <c r="A183" s="40" t="s">
        <v>311</v>
      </c>
      <c r="B183" s="20" t="s">
        <v>312</v>
      </c>
      <c r="C183" s="11">
        <f>SUM(C184:C187)</f>
        <v>101871.79</v>
      </c>
      <c r="D183" s="11">
        <f>SUM(D184:D187)</f>
        <v>0</v>
      </c>
      <c r="E183" s="11">
        <f>SUM(E184:E187)</f>
        <v>0</v>
      </c>
    </row>
    <row r="184" spans="1:5" ht="300">
      <c r="A184" s="40" t="s">
        <v>310</v>
      </c>
      <c r="B184" s="20" t="s">
        <v>312</v>
      </c>
      <c r="C184" s="11">
        <f>23000+3000-17000+1471.2</f>
        <v>10471.2</v>
      </c>
      <c r="D184" s="11">
        <v>0</v>
      </c>
      <c r="E184" s="11">
        <v>0</v>
      </c>
    </row>
    <row r="185" spans="1:5" ht="300">
      <c r="A185" s="40" t="s">
        <v>361</v>
      </c>
      <c r="B185" s="20" t="s">
        <v>312</v>
      </c>
      <c r="C185" s="11">
        <f>21000+17000+2300.59</f>
        <v>40300.59</v>
      </c>
      <c r="D185" s="11">
        <v>0</v>
      </c>
      <c r="E185" s="11">
        <v>0</v>
      </c>
    </row>
    <row r="186" spans="1:5" ht="300">
      <c r="A186" s="40" t="s">
        <v>362</v>
      </c>
      <c r="B186" s="20" t="s">
        <v>312</v>
      </c>
      <c r="C186" s="11">
        <f>1000+100</f>
        <v>1100</v>
      </c>
      <c r="D186" s="11">
        <v>0</v>
      </c>
      <c r="E186" s="11">
        <v>0</v>
      </c>
    </row>
    <row r="187" spans="1:5" ht="300">
      <c r="A187" s="40" t="s">
        <v>363</v>
      </c>
      <c r="B187" s="20" t="s">
        <v>312</v>
      </c>
      <c r="C187" s="11">
        <f>45000+5000</f>
        <v>50000</v>
      </c>
      <c r="D187" s="11">
        <v>0</v>
      </c>
      <c r="E187" s="11">
        <v>0</v>
      </c>
    </row>
    <row r="188" spans="1:5" ht="187.5">
      <c r="A188" s="40" t="s">
        <v>364</v>
      </c>
      <c r="B188" s="20" t="s">
        <v>365</v>
      </c>
      <c r="C188" s="11">
        <f>C189</f>
        <v>250</v>
      </c>
      <c r="D188" s="11">
        <f>D189</f>
        <v>0</v>
      </c>
      <c r="E188" s="11">
        <f>E189</f>
        <v>0</v>
      </c>
    </row>
    <row r="189" spans="1:5" ht="187.5">
      <c r="A189" s="40" t="s">
        <v>366</v>
      </c>
      <c r="B189" s="20" t="s">
        <v>365</v>
      </c>
      <c r="C189" s="11">
        <v>250</v>
      </c>
      <c r="D189" s="11">
        <v>0</v>
      </c>
      <c r="E189" s="11">
        <v>0</v>
      </c>
    </row>
    <row r="190" spans="1:5" ht="37.5">
      <c r="A190" s="14" t="s">
        <v>40</v>
      </c>
      <c r="B190" s="15" t="s">
        <v>151</v>
      </c>
      <c r="C190" s="16">
        <f>C191+C254+C258</f>
        <v>299770099.89</v>
      </c>
      <c r="D190" s="16">
        <f>D191+D254+D258</f>
        <v>244615991.71</v>
      </c>
      <c r="E190" s="16">
        <f>E191+E254+E258</f>
        <v>235861818.51</v>
      </c>
    </row>
    <row r="191" spans="1:5" ht="93.75">
      <c r="A191" s="14" t="s">
        <v>59</v>
      </c>
      <c r="B191" s="15" t="s">
        <v>220</v>
      </c>
      <c r="C191" s="16">
        <f>C192+C199+C228+C243</f>
        <v>300183362.36</v>
      </c>
      <c r="D191" s="16">
        <f>D192+D199+D228+D243</f>
        <v>244615991.71</v>
      </c>
      <c r="E191" s="16">
        <f>E192+E199+E228+E243</f>
        <v>235861818.51</v>
      </c>
    </row>
    <row r="192" spans="1:5" ht="37.5">
      <c r="A192" s="14" t="s">
        <v>111</v>
      </c>
      <c r="B192" s="17" t="s">
        <v>221</v>
      </c>
      <c r="C192" s="16">
        <f>C193+C196</f>
        <v>116914680</v>
      </c>
      <c r="D192" s="16">
        <f>D193+D196</f>
        <v>89367500</v>
      </c>
      <c r="E192" s="16">
        <f>E193+E196</f>
        <v>92115000</v>
      </c>
    </row>
    <row r="193" spans="1:5" ht="37.5">
      <c r="A193" s="40" t="s">
        <v>112</v>
      </c>
      <c r="B193" s="12" t="s">
        <v>222</v>
      </c>
      <c r="C193" s="18">
        <f aca="true" t="shared" si="27" ref="C193:E194">C194</f>
        <v>102491500</v>
      </c>
      <c r="D193" s="18">
        <f t="shared" si="27"/>
        <v>89367500</v>
      </c>
      <c r="E193" s="18">
        <f t="shared" si="27"/>
        <v>92115000</v>
      </c>
    </row>
    <row r="194" spans="1:5" ht="93.75">
      <c r="A194" s="40" t="s">
        <v>113</v>
      </c>
      <c r="B194" s="12" t="s">
        <v>367</v>
      </c>
      <c r="C194" s="18">
        <f t="shared" si="27"/>
        <v>102491500</v>
      </c>
      <c r="D194" s="18">
        <f t="shared" si="27"/>
        <v>89367500</v>
      </c>
      <c r="E194" s="18">
        <f t="shared" si="27"/>
        <v>92115000</v>
      </c>
    </row>
    <row r="195" spans="1:5" ht="93.75">
      <c r="A195" s="40" t="s">
        <v>114</v>
      </c>
      <c r="B195" s="12" t="s">
        <v>367</v>
      </c>
      <c r="C195" s="18">
        <v>102491500</v>
      </c>
      <c r="D195" s="19">
        <f>88906000+461500</f>
        <v>89367500</v>
      </c>
      <c r="E195" s="19">
        <f>88906000+3209000</f>
        <v>92115000</v>
      </c>
    </row>
    <row r="196" spans="1:5" ht="56.25">
      <c r="A196" s="40" t="s">
        <v>115</v>
      </c>
      <c r="B196" s="12" t="s">
        <v>223</v>
      </c>
      <c r="C196" s="18">
        <f aca="true" t="shared" si="28" ref="C196:E197">C197</f>
        <v>14423180</v>
      </c>
      <c r="D196" s="18">
        <f t="shared" si="28"/>
        <v>0</v>
      </c>
      <c r="E196" s="18">
        <f t="shared" si="28"/>
        <v>0</v>
      </c>
    </row>
    <row r="197" spans="1:5" ht="75">
      <c r="A197" s="40" t="s">
        <v>116</v>
      </c>
      <c r="B197" s="12" t="s">
        <v>224</v>
      </c>
      <c r="C197" s="18">
        <f t="shared" si="28"/>
        <v>14423180</v>
      </c>
      <c r="D197" s="18">
        <f t="shared" si="28"/>
        <v>0</v>
      </c>
      <c r="E197" s="18">
        <f t="shared" si="28"/>
        <v>0</v>
      </c>
    </row>
    <row r="198" spans="1:5" ht="75">
      <c r="A198" s="40" t="s">
        <v>117</v>
      </c>
      <c r="B198" s="12" t="s">
        <v>224</v>
      </c>
      <c r="C198" s="18">
        <f>14393410+29770</f>
        <v>14423180</v>
      </c>
      <c r="D198" s="19">
        <v>0</v>
      </c>
      <c r="E198" s="19">
        <v>0</v>
      </c>
    </row>
    <row r="199" spans="1:5" s="6" customFormat="1" ht="56.25">
      <c r="A199" s="14" t="s">
        <v>118</v>
      </c>
      <c r="B199" s="15" t="s">
        <v>225</v>
      </c>
      <c r="C199" s="16">
        <f>C224+C206+C209+C212+C221+C200+C215+C203+C218</f>
        <v>57084102.78000001</v>
      </c>
      <c r="D199" s="16">
        <f>D224+D206+D209+D212+D221+D200+D215+D203+D218</f>
        <v>19145112.15</v>
      </c>
      <c r="E199" s="16">
        <f>E224+E206+E209+E212+E221+E200+E215+E203+E218</f>
        <v>7614914.95</v>
      </c>
    </row>
    <row r="200" spans="1:5" s="6" customFormat="1" ht="73.5" customHeight="1">
      <c r="A200" s="22" t="s">
        <v>298</v>
      </c>
      <c r="B200" s="20" t="s">
        <v>299</v>
      </c>
      <c r="C200" s="18">
        <f aca="true" t="shared" si="29" ref="C200:E201">C201</f>
        <v>29139880.67</v>
      </c>
      <c r="D200" s="18">
        <f t="shared" si="29"/>
        <v>5074320.33</v>
      </c>
      <c r="E200" s="18">
        <f t="shared" si="29"/>
        <v>0</v>
      </c>
    </row>
    <row r="201" spans="1:5" s="6" customFormat="1" ht="93.75">
      <c r="A201" s="40" t="s">
        <v>296</v>
      </c>
      <c r="B201" s="20" t="s">
        <v>300</v>
      </c>
      <c r="C201" s="18">
        <f t="shared" si="29"/>
        <v>29139880.67</v>
      </c>
      <c r="D201" s="18">
        <f t="shared" si="29"/>
        <v>5074320.33</v>
      </c>
      <c r="E201" s="18">
        <f t="shared" si="29"/>
        <v>0</v>
      </c>
    </row>
    <row r="202" spans="1:5" s="6" customFormat="1" ht="93.75">
      <c r="A202" s="40" t="s">
        <v>297</v>
      </c>
      <c r="B202" s="20" t="s">
        <v>300</v>
      </c>
      <c r="C202" s="18">
        <f>36639880.67-7500000</f>
        <v>29139880.67</v>
      </c>
      <c r="D202" s="18">
        <f>14674320.33-9600000</f>
        <v>5074320.33</v>
      </c>
      <c r="E202" s="18">
        <v>0</v>
      </c>
    </row>
    <row r="203" spans="1:5" s="6" customFormat="1" ht="187.5">
      <c r="A203" s="40" t="s">
        <v>377</v>
      </c>
      <c r="B203" s="20" t="s">
        <v>378</v>
      </c>
      <c r="C203" s="18">
        <f aca="true" t="shared" si="30" ref="C203:E204">C204</f>
        <v>4720077.38</v>
      </c>
      <c r="D203" s="18">
        <f t="shared" si="30"/>
        <v>4535579.24</v>
      </c>
      <c r="E203" s="18">
        <f t="shared" si="30"/>
        <v>4812326.45</v>
      </c>
    </row>
    <row r="204" spans="1:5" s="6" customFormat="1" ht="206.25">
      <c r="A204" s="40" t="s">
        <v>373</v>
      </c>
      <c r="B204" s="20" t="s">
        <v>379</v>
      </c>
      <c r="C204" s="18">
        <f t="shared" si="30"/>
        <v>4720077.38</v>
      </c>
      <c r="D204" s="18">
        <f t="shared" si="30"/>
        <v>4535579.24</v>
      </c>
      <c r="E204" s="18">
        <f t="shared" si="30"/>
        <v>4812326.45</v>
      </c>
    </row>
    <row r="205" spans="1:5" s="6" customFormat="1" ht="206.25">
      <c r="A205" s="40" t="s">
        <v>374</v>
      </c>
      <c r="B205" s="20" t="s">
        <v>379</v>
      </c>
      <c r="C205" s="18">
        <v>4720077.38</v>
      </c>
      <c r="D205" s="18">
        <v>4535579.24</v>
      </c>
      <c r="E205" s="18">
        <v>4812326.45</v>
      </c>
    </row>
    <row r="206" spans="1:5" s="6" customFormat="1" ht="112.5">
      <c r="A206" s="40" t="s">
        <v>294</v>
      </c>
      <c r="B206" s="20" t="s">
        <v>295</v>
      </c>
      <c r="C206" s="18">
        <f aca="true" t="shared" si="31" ref="C206:E207">C207</f>
        <v>0</v>
      </c>
      <c r="D206" s="18">
        <f t="shared" si="31"/>
        <v>2238602.2</v>
      </c>
      <c r="E206" s="18">
        <f t="shared" si="31"/>
        <v>2268978.5</v>
      </c>
    </row>
    <row r="207" spans="1:5" s="6" customFormat="1" ht="150">
      <c r="A207" s="40" t="s">
        <v>260</v>
      </c>
      <c r="B207" s="20" t="s">
        <v>293</v>
      </c>
      <c r="C207" s="18">
        <f t="shared" si="31"/>
        <v>0</v>
      </c>
      <c r="D207" s="18">
        <f t="shared" si="31"/>
        <v>2238602.2</v>
      </c>
      <c r="E207" s="18">
        <f t="shared" si="31"/>
        <v>2268978.5</v>
      </c>
    </row>
    <row r="208" spans="1:5" s="6" customFormat="1" ht="131.25">
      <c r="A208" s="40" t="s">
        <v>261</v>
      </c>
      <c r="B208" s="20" t="s">
        <v>292</v>
      </c>
      <c r="C208" s="18">
        <v>0</v>
      </c>
      <c r="D208" s="18">
        <v>2238602.2</v>
      </c>
      <c r="E208" s="18">
        <v>2268978.5</v>
      </c>
    </row>
    <row r="209" spans="1:5" s="6" customFormat="1" ht="168.75">
      <c r="A209" s="40" t="s">
        <v>290</v>
      </c>
      <c r="B209" s="20" t="s">
        <v>291</v>
      </c>
      <c r="C209" s="18">
        <f aca="true" t="shared" si="32" ref="C209:E210">C210</f>
        <v>1117058.69</v>
      </c>
      <c r="D209" s="18">
        <f t="shared" si="32"/>
        <v>2253905.73</v>
      </c>
      <c r="E209" s="18">
        <f t="shared" si="32"/>
        <v>0</v>
      </c>
    </row>
    <row r="210" spans="1:5" s="6" customFormat="1" ht="171" customHeight="1">
      <c r="A210" s="40" t="s">
        <v>258</v>
      </c>
      <c r="B210" s="20" t="s">
        <v>289</v>
      </c>
      <c r="C210" s="18">
        <f t="shared" si="32"/>
        <v>1117058.69</v>
      </c>
      <c r="D210" s="18">
        <f t="shared" si="32"/>
        <v>2253905.73</v>
      </c>
      <c r="E210" s="18">
        <f t="shared" si="32"/>
        <v>0</v>
      </c>
    </row>
    <row r="211" spans="1:5" s="6" customFormat="1" ht="183" customHeight="1">
      <c r="A211" s="40" t="s">
        <v>259</v>
      </c>
      <c r="B211" s="20" t="s">
        <v>288</v>
      </c>
      <c r="C211" s="18">
        <v>1117058.69</v>
      </c>
      <c r="D211" s="18">
        <v>2253905.73</v>
      </c>
      <c r="E211" s="18">
        <v>0</v>
      </c>
    </row>
    <row r="212" spans="1:5" s="6" customFormat="1" ht="122.25" customHeight="1">
      <c r="A212" s="40" t="s">
        <v>265</v>
      </c>
      <c r="B212" s="20" t="s">
        <v>266</v>
      </c>
      <c r="C212" s="18">
        <f aca="true" t="shared" si="33" ref="C212:E213">C213</f>
        <v>0</v>
      </c>
      <c r="D212" s="18">
        <f t="shared" si="33"/>
        <v>4509094.65</v>
      </c>
      <c r="E212" s="18">
        <f t="shared" si="33"/>
        <v>0</v>
      </c>
    </row>
    <row r="213" spans="1:5" s="6" customFormat="1" ht="117.75" customHeight="1">
      <c r="A213" s="40" t="s">
        <v>262</v>
      </c>
      <c r="B213" s="20" t="s">
        <v>264</v>
      </c>
      <c r="C213" s="18">
        <f t="shared" si="33"/>
        <v>0</v>
      </c>
      <c r="D213" s="18">
        <f t="shared" si="33"/>
        <v>4509094.65</v>
      </c>
      <c r="E213" s="18">
        <f t="shared" si="33"/>
        <v>0</v>
      </c>
    </row>
    <row r="214" spans="1:5" s="6" customFormat="1" ht="131.25">
      <c r="A214" s="40" t="s">
        <v>263</v>
      </c>
      <c r="B214" s="20" t="s">
        <v>264</v>
      </c>
      <c r="C214" s="18">
        <v>0</v>
      </c>
      <c r="D214" s="18">
        <v>4509094.65</v>
      </c>
      <c r="E214" s="18">
        <v>0</v>
      </c>
    </row>
    <row r="215" spans="1:5" s="6" customFormat="1" ht="150">
      <c r="A215" s="40" t="s">
        <v>301</v>
      </c>
      <c r="B215" s="20" t="s">
        <v>304</v>
      </c>
      <c r="C215" s="18">
        <f>C216</f>
        <v>10028710</v>
      </c>
      <c r="D215" s="18">
        <f>D216</f>
        <v>0</v>
      </c>
      <c r="E215" s="18">
        <f>E216</f>
        <v>0</v>
      </c>
    </row>
    <row r="216" spans="1:5" s="6" customFormat="1" ht="150">
      <c r="A216" s="40" t="s">
        <v>302</v>
      </c>
      <c r="B216" s="20" t="s">
        <v>305</v>
      </c>
      <c r="C216" s="18">
        <v>10028710</v>
      </c>
      <c r="D216" s="18">
        <v>0</v>
      </c>
      <c r="E216" s="18">
        <v>0</v>
      </c>
    </row>
    <row r="217" spans="1:5" s="6" customFormat="1" ht="150">
      <c r="A217" s="40" t="s">
        <v>303</v>
      </c>
      <c r="B217" s="20" t="s">
        <v>305</v>
      </c>
      <c r="C217" s="18">
        <v>10028710</v>
      </c>
      <c r="D217" s="18">
        <v>0</v>
      </c>
      <c r="E217" s="18">
        <v>0</v>
      </c>
    </row>
    <row r="218" spans="1:5" s="6" customFormat="1" ht="131.25">
      <c r="A218" s="40" t="s">
        <v>418</v>
      </c>
      <c r="B218" s="20" t="s">
        <v>419</v>
      </c>
      <c r="C218" s="18">
        <f aca="true" t="shared" si="34" ref="C218:E219">C219</f>
        <v>3229909.64</v>
      </c>
      <c r="D218" s="18">
        <f t="shared" si="34"/>
        <v>0</v>
      </c>
      <c r="E218" s="18">
        <f t="shared" si="34"/>
        <v>0</v>
      </c>
    </row>
    <row r="219" spans="1:5" s="6" customFormat="1" ht="150">
      <c r="A219" s="40" t="s">
        <v>420</v>
      </c>
      <c r="B219" s="20" t="s">
        <v>417</v>
      </c>
      <c r="C219" s="18">
        <f t="shared" si="34"/>
        <v>3229909.64</v>
      </c>
      <c r="D219" s="18">
        <f t="shared" si="34"/>
        <v>0</v>
      </c>
      <c r="E219" s="18">
        <f t="shared" si="34"/>
        <v>0</v>
      </c>
    </row>
    <row r="220" spans="1:5" s="6" customFormat="1" ht="150">
      <c r="A220" s="40" t="s">
        <v>416</v>
      </c>
      <c r="B220" s="20" t="s">
        <v>417</v>
      </c>
      <c r="C220" s="18">
        <v>3229909.64</v>
      </c>
      <c r="D220" s="18">
        <v>0</v>
      </c>
      <c r="E220" s="18">
        <v>0</v>
      </c>
    </row>
    <row r="221" spans="1:5" s="6" customFormat="1" ht="56.25">
      <c r="A221" s="40" t="s">
        <v>273</v>
      </c>
      <c r="B221" s="20" t="s">
        <v>274</v>
      </c>
      <c r="C221" s="18">
        <f aca="true" t="shared" si="35" ref="C221:E222">C222</f>
        <v>300400</v>
      </c>
      <c r="D221" s="18">
        <f t="shared" si="35"/>
        <v>0</v>
      </c>
      <c r="E221" s="18">
        <f t="shared" si="35"/>
        <v>0</v>
      </c>
    </row>
    <row r="222" spans="1:5" s="6" customFormat="1" ht="75">
      <c r="A222" s="40" t="s">
        <v>275</v>
      </c>
      <c r="B222" s="20" t="s">
        <v>276</v>
      </c>
      <c r="C222" s="18">
        <f t="shared" si="35"/>
        <v>300400</v>
      </c>
      <c r="D222" s="18">
        <f t="shared" si="35"/>
        <v>0</v>
      </c>
      <c r="E222" s="18">
        <f t="shared" si="35"/>
        <v>0</v>
      </c>
    </row>
    <row r="223" spans="1:5" s="6" customFormat="1" ht="75">
      <c r="A223" s="40" t="s">
        <v>277</v>
      </c>
      <c r="B223" s="20" t="s">
        <v>276</v>
      </c>
      <c r="C223" s="18">
        <v>300400</v>
      </c>
      <c r="D223" s="18">
        <v>0</v>
      </c>
      <c r="E223" s="18">
        <v>0</v>
      </c>
    </row>
    <row r="224" spans="1:5" ht="18.75">
      <c r="A224" s="40" t="s">
        <v>119</v>
      </c>
      <c r="B224" s="20" t="s">
        <v>227</v>
      </c>
      <c r="C224" s="18">
        <f>C225</f>
        <v>8548066.4</v>
      </c>
      <c r="D224" s="18">
        <f>D225</f>
        <v>533610</v>
      </c>
      <c r="E224" s="18">
        <f>E225</f>
        <v>533610</v>
      </c>
    </row>
    <row r="225" spans="1:5" ht="37.5">
      <c r="A225" s="40" t="s">
        <v>120</v>
      </c>
      <c r="B225" s="20" t="s">
        <v>226</v>
      </c>
      <c r="C225" s="18">
        <f>SUM(C226:C227)</f>
        <v>8548066.4</v>
      </c>
      <c r="D225" s="18">
        <f>SUM(D226:D227)</f>
        <v>533610</v>
      </c>
      <c r="E225" s="18">
        <f>SUM(E226:E227)</f>
        <v>533610</v>
      </c>
    </row>
    <row r="226" spans="1:5" ht="37.5">
      <c r="A226" s="40" t="s">
        <v>121</v>
      </c>
      <c r="B226" s="20" t="s">
        <v>226</v>
      </c>
      <c r="C226" s="18">
        <f>6940548+350000-8879-135383</f>
        <v>7146286</v>
      </c>
      <c r="D226" s="18">
        <v>0</v>
      </c>
      <c r="E226" s="18">
        <v>0</v>
      </c>
    </row>
    <row r="227" spans="1:5" ht="37.5">
      <c r="A227" s="40" t="s">
        <v>122</v>
      </c>
      <c r="B227" s="20" t="s">
        <v>226</v>
      </c>
      <c r="C227" s="18">
        <f>870123.66+48510+10028710+1129585.16-10028710-717675.34+71236.92</f>
        <v>1401780.4000000004</v>
      </c>
      <c r="D227" s="18">
        <f>485100+48510</f>
        <v>533610</v>
      </c>
      <c r="E227" s="18">
        <f>485100+48510</f>
        <v>533610</v>
      </c>
    </row>
    <row r="228" spans="1:5" ht="37.5">
      <c r="A228" s="14" t="s">
        <v>123</v>
      </c>
      <c r="B228" s="17" t="s">
        <v>228</v>
      </c>
      <c r="C228" s="16">
        <f>C229+C240+C237+C234</f>
        <v>122754244.78</v>
      </c>
      <c r="D228" s="16">
        <f>D229+D240+D237+D234</f>
        <v>127744539.56</v>
      </c>
      <c r="E228" s="16">
        <f>E229+E240+E237+E234</f>
        <v>127773063.56</v>
      </c>
    </row>
    <row r="229" spans="1:5" ht="56.25">
      <c r="A229" s="40" t="s">
        <v>124</v>
      </c>
      <c r="B229" s="12" t="s">
        <v>229</v>
      </c>
      <c r="C229" s="18">
        <f>C230</f>
        <v>2080951.5299999998</v>
      </c>
      <c r="D229" s="18">
        <f>D230</f>
        <v>1899597.5599999998</v>
      </c>
      <c r="E229" s="18">
        <f>E230</f>
        <v>1899597.5599999998</v>
      </c>
    </row>
    <row r="230" spans="1:5" ht="75">
      <c r="A230" s="40" t="s">
        <v>125</v>
      </c>
      <c r="B230" s="12" t="s">
        <v>230</v>
      </c>
      <c r="C230" s="18">
        <f>SUM(C231:C233)</f>
        <v>2080951.5299999998</v>
      </c>
      <c r="D230" s="18">
        <f>SUM(D231:D233)</f>
        <v>1899597.5599999998</v>
      </c>
      <c r="E230" s="18">
        <f>SUM(E231:E233)</f>
        <v>1899597.5599999998</v>
      </c>
    </row>
    <row r="231" spans="1:5" ht="75">
      <c r="A231" s="40" t="s">
        <v>126</v>
      </c>
      <c r="B231" s="12" t="s">
        <v>230</v>
      </c>
      <c r="C231" s="18">
        <f>448497.28+344.92</f>
        <v>448842.2</v>
      </c>
      <c r="D231" s="18">
        <v>419707</v>
      </c>
      <c r="E231" s="18">
        <v>419707</v>
      </c>
    </row>
    <row r="232" spans="1:5" ht="75">
      <c r="A232" s="40" t="s">
        <v>127</v>
      </c>
      <c r="B232" s="12" t="s">
        <v>230</v>
      </c>
      <c r="C232" s="18">
        <f>1460657.16+4620</f>
        <v>1465277.16</v>
      </c>
      <c r="D232" s="18">
        <f>1451388.16+4620</f>
        <v>1456008.16</v>
      </c>
      <c r="E232" s="18">
        <f>1451388.16+4620</f>
        <v>1456008.16</v>
      </c>
    </row>
    <row r="233" spans="1:5" ht="75">
      <c r="A233" s="40" t="s">
        <v>128</v>
      </c>
      <c r="B233" s="12" t="s">
        <v>230</v>
      </c>
      <c r="C233" s="18">
        <f>108039.22+3454.22+55338.73</f>
        <v>166832.17</v>
      </c>
      <c r="D233" s="18">
        <f>3303-3303+23882.4</f>
        <v>23882.4</v>
      </c>
      <c r="E233" s="18">
        <f>3303-3303+23882.4</f>
        <v>23882.4</v>
      </c>
    </row>
    <row r="234" spans="1:5" ht="131.25">
      <c r="A234" s="40" t="s">
        <v>129</v>
      </c>
      <c r="B234" s="12" t="s">
        <v>231</v>
      </c>
      <c r="C234" s="18">
        <f aca="true" t="shared" si="36" ref="C234:E235">C235</f>
        <v>3100000</v>
      </c>
      <c r="D234" s="18">
        <f t="shared" si="36"/>
        <v>3220371</v>
      </c>
      <c r="E234" s="18">
        <f t="shared" si="36"/>
        <v>3220371</v>
      </c>
    </row>
    <row r="235" spans="1:5" ht="131.25">
      <c r="A235" s="40" t="s">
        <v>130</v>
      </c>
      <c r="B235" s="12" t="s">
        <v>232</v>
      </c>
      <c r="C235" s="18">
        <f t="shared" si="36"/>
        <v>3100000</v>
      </c>
      <c r="D235" s="18">
        <f t="shared" si="36"/>
        <v>3220371</v>
      </c>
      <c r="E235" s="18">
        <f t="shared" si="36"/>
        <v>3220371</v>
      </c>
    </row>
    <row r="236" spans="1:5" ht="131.25">
      <c r="A236" s="40" t="s">
        <v>131</v>
      </c>
      <c r="B236" s="12" t="s">
        <v>232</v>
      </c>
      <c r="C236" s="18">
        <f>1073457+2146914-120371</f>
        <v>3100000</v>
      </c>
      <c r="D236" s="18">
        <f>8587656-5367285</f>
        <v>3220371</v>
      </c>
      <c r="E236" s="18">
        <f>1114436+2105935</f>
        <v>3220371</v>
      </c>
    </row>
    <row r="237" spans="1:5" ht="112.5">
      <c r="A237" s="40" t="s">
        <v>132</v>
      </c>
      <c r="B237" s="12" t="s">
        <v>108</v>
      </c>
      <c r="C237" s="18">
        <f aca="true" t="shared" si="37" ref="C237:E238">C238</f>
        <v>18862</v>
      </c>
      <c r="D237" s="18">
        <f t="shared" si="37"/>
        <v>20173</v>
      </c>
      <c r="E237" s="18">
        <f t="shared" si="37"/>
        <v>48697</v>
      </c>
    </row>
    <row r="238" spans="1:5" ht="131.25">
      <c r="A238" s="40" t="s">
        <v>133</v>
      </c>
      <c r="B238" s="12" t="s">
        <v>233</v>
      </c>
      <c r="C238" s="18">
        <f t="shared" si="37"/>
        <v>18862</v>
      </c>
      <c r="D238" s="18">
        <f t="shared" si="37"/>
        <v>20173</v>
      </c>
      <c r="E238" s="18">
        <f t="shared" si="37"/>
        <v>48697</v>
      </c>
    </row>
    <row r="239" spans="1:5" ht="131.25">
      <c r="A239" s="40" t="s">
        <v>134</v>
      </c>
      <c r="B239" s="12" t="s">
        <v>233</v>
      </c>
      <c r="C239" s="18">
        <f>5620+13242</f>
        <v>18862</v>
      </c>
      <c r="D239" s="18">
        <f>5910+14263</f>
        <v>20173</v>
      </c>
      <c r="E239" s="18">
        <v>48697</v>
      </c>
    </row>
    <row r="240" spans="1:5" ht="18.75">
      <c r="A240" s="40" t="s">
        <v>135</v>
      </c>
      <c r="B240" s="12" t="s">
        <v>87</v>
      </c>
      <c r="C240" s="18">
        <f aca="true" t="shared" si="38" ref="C240:E241">C241</f>
        <v>117554431.25</v>
      </c>
      <c r="D240" s="18">
        <f t="shared" si="38"/>
        <v>122604398</v>
      </c>
      <c r="E240" s="18">
        <f t="shared" si="38"/>
        <v>122604398</v>
      </c>
    </row>
    <row r="241" spans="1:5" ht="37.5">
      <c r="A241" s="40" t="s">
        <v>136</v>
      </c>
      <c r="B241" s="12" t="s">
        <v>234</v>
      </c>
      <c r="C241" s="18">
        <f t="shared" si="38"/>
        <v>117554431.25</v>
      </c>
      <c r="D241" s="18">
        <f t="shared" si="38"/>
        <v>122604398</v>
      </c>
      <c r="E241" s="18">
        <f t="shared" si="38"/>
        <v>122604398</v>
      </c>
    </row>
    <row r="242" spans="1:5" ht="37.5">
      <c r="A242" s="40" t="s">
        <v>137</v>
      </c>
      <c r="B242" s="12" t="s">
        <v>234</v>
      </c>
      <c r="C242" s="18">
        <f>116638233.75+413299+502898.5</f>
        <v>117554431.25</v>
      </c>
      <c r="D242" s="18">
        <v>122604398</v>
      </c>
      <c r="E242" s="18">
        <v>122604398</v>
      </c>
    </row>
    <row r="243" spans="1:5" ht="18.75">
      <c r="A243" s="21" t="s">
        <v>244</v>
      </c>
      <c r="B243" s="17" t="s">
        <v>245</v>
      </c>
      <c r="C243" s="16">
        <f>C244+C250+C247</f>
        <v>3430334.8</v>
      </c>
      <c r="D243" s="16">
        <f>D244+D250+D247</f>
        <v>8358840</v>
      </c>
      <c r="E243" s="16">
        <f>E244+E250+E247</f>
        <v>8358840</v>
      </c>
    </row>
    <row r="244" spans="1:5" ht="131.25">
      <c r="A244" s="22" t="s">
        <v>246</v>
      </c>
      <c r="B244" s="12" t="s">
        <v>247</v>
      </c>
      <c r="C244" s="18">
        <f aca="true" t="shared" si="39" ref="C244:E245">C245</f>
        <v>268054.8</v>
      </c>
      <c r="D244" s="18">
        <f t="shared" si="39"/>
        <v>0</v>
      </c>
      <c r="E244" s="18">
        <f t="shared" si="39"/>
        <v>0</v>
      </c>
    </row>
    <row r="245" spans="1:5" ht="131.25">
      <c r="A245" s="22" t="s">
        <v>248</v>
      </c>
      <c r="B245" s="12" t="s">
        <v>249</v>
      </c>
      <c r="C245" s="18">
        <f t="shared" si="39"/>
        <v>268054.8</v>
      </c>
      <c r="D245" s="18">
        <f t="shared" si="39"/>
        <v>0</v>
      </c>
      <c r="E245" s="18">
        <f t="shared" si="39"/>
        <v>0</v>
      </c>
    </row>
    <row r="246" spans="1:5" ht="131.25">
      <c r="A246" s="22" t="s">
        <v>250</v>
      </c>
      <c r="B246" s="12" t="s">
        <v>249</v>
      </c>
      <c r="C246" s="18">
        <f>146214+121840.8</f>
        <v>268054.8</v>
      </c>
      <c r="D246" s="18">
        <v>0</v>
      </c>
      <c r="E246" s="18">
        <v>0</v>
      </c>
    </row>
    <row r="247" spans="1:5" ht="150">
      <c r="A247" s="22" t="s">
        <v>408</v>
      </c>
      <c r="B247" s="12" t="s">
        <v>409</v>
      </c>
      <c r="C247" s="18">
        <f aca="true" t="shared" si="40" ref="C247:E248">C248</f>
        <v>2786280</v>
      </c>
      <c r="D247" s="18">
        <f t="shared" si="40"/>
        <v>8358840</v>
      </c>
      <c r="E247" s="18">
        <f t="shared" si="40"/>
        <v>8358840</v>
      </c>
    </row>
    <row r="248" spans="1:5" ht="168.75">
      <c r="A248" s="22" t="s">
        <v>410</v>
      </c>
      <c r="B248" s="12" t="s">
        <v>411</v>
      </c>
      <c r="C248" s="18">
        <f t="shared" si="40"/>
        <v>2786280</v>
      </c>
      <c r="D248" s="18">
        <f t="shared" si="40"/>
        <v>8358840</v>
      </c>
      <c r="E248" s="18">
        <f t="shared" si="40"/>
        <v>8358840</v>
      </c>
    </row>
    <row r="249" spans="1:5" ht="168.75">
      <c r="A249" s="22" t="s">
        <v>412</v>
      </c>
      <c r="B249" s="12" t="s">
        <v>411</v>
      </c>
      <c r="C249" s="18">
        <v>2786280</v>
      </c>
      <c r="D249" s="18">
        <v>8358840</v>
      </c>
      <c r="E249" s="18">
        <v>8358840</v>
      </c>
    </row>
    <row r="250" spans="1:5" ht="93.75">
      <c r="A250" s="22" t="s">
        <v>313</v>
      </c>
      <c r="B250" s="12" t="s">
        <v>314</v>
      </c>
      <c r="C250" s="18">
        <f aca="true" t="shared" si="41" ref="C250:E252">C251</f>
        <v>376000</v>
      </c>
      <c r="D250" s="18">
        <f t="shared" si="41"/>
        <v>0</v>
      </c>
      <c r="E250" s="18">
        <f t="shared" si="41"/>
        <v>0</v>
      </c>
    </row>
    <row r="251" spans="1:5" ht="102.75" customHeight="1">
      <c r="A251" s="22" t="s">
        <v>315</v>
      </c>
      <c r="B251" s="12" t="s">
        <v>316</v>
      </c>
      <c r="C251" s="18">
        <f t="shared" si="41"/>
        <v>376000</v>
      </c>
      <c r="D251" s="18">
        <f t="shared" si="41"/>
        <v>0</v>
      </c>
      <c r="E251" s="18">
        <f t="shared" si="41"/>
        <v>0</v>
      </c>
    </row>
    <row r="252" spans="1:5" ht="75">
      <c r="A252" s="22" t="s">
        <v>317</v>
      </c>
      <c r="B252" s="12" t="s">
        <v>318</v>
      </c>
      <c r="C252" s="18">
        <f t="shared" si="41"/>
        <v>376000</v>
      </c>
      <c r="D252" s="18">
        <f t="shared" si="41"/>
        <v>0</v>
      </c>
      <c r="E252" s="18">
        <f t="shared" si="41"/>
        <v>0</v>
      </c>
    </row>
    <row r="253" spans="1:5" ht="66.75" customHeight="1">
      <c r="A253" s="22" t="s">
        <v>319</v>
      </c>
      <c r="B253" s="12" t="s">
        <v>318</v>
      </c>
      <c r="C253" s="18">
        <v>376000</v>
      </c>
      <c r="D253" s="18">
        <v>0</v>
      </c>
      <c r="E253" s="18">
        <v>0</v>
      </c>
    </row>
    <row r="254" spans="1:5" ht="48.75" customHeight="1">
      <c r="A254" s="21" t="s">
        <v>251</v>
      </c>
      <c r="B254" s="17" t="s">
        <v>252</v>
      </c>
      <c r="C254" s="16">
        <f aca="true" t="shared" si="42" ref="C254:E256">C255</f>
        <v>50000</v>
      </c>
      <c r="D254" s="16">
        <f t="shared" si="42"/>
        <v>0</v>
      </c>
      <c r="E254" s="16">
        <f t="shared" si="42"/>
        <v>0</v>
      </c>
    </row>
    <row r="255" spans="1:5" ht="48" customHeight="1">
      <c r="A255" s="22" t="s">
        <v>253</v>
      </c>
      <c r="B255" s="12" t="s">
        <v>254</v>
      </c>
      <c r="C255" s="18">
        <f t="shared" si="42"/>
        <v>50000</v>
      </c>
      <c r="D255" s="18">
        <f t="shared" si="42"/>
        <v>0</v>
      </c>
      <c r="E255" s="18">
        <f t="shared" si="42"/>
        <v>0</v>
      </c>
    </row>
    <row r="256" spans="1:5" ht="112.5">
      <c r="A256" s="22" t="s">
        <v>255</v>
      </c>
      <c r="B256" s="12" t="s">
        <v>256</v>
      </c>
      <c r="C256" s="18">
        <f t="shared" si="42"/>
        <v>50000</v>
      </c>
      <c r="D256" s="18">
        <f t="shared" si="42"/>
        <v>0</v>
      </c>
      <c r="E256" s="18">
        <f t="shared" si="42"/>
        <v>0</v>
      </c>
    </row>
    <row r="257" spans="1:5" ht="112.5">
      <c r="A257" s="22" t="s">
        <v>257</v>
      </c>
      <c r="B257" s="12" t="s">
        <v>256</v>
      </c>
      <c r="C257" s="18">
        <v>50000</v>
      </c>
      <c r="D257" s="18">
        <v>0</v>
      </c>
      <c r="E257" s="18">
        <v>0</v>
      </c>
    </row>
    <row r="258" spans="1:5" ht="131.25">
      <c r="A258" s="21" t="s">
        <v>278</v>
      </c>
      <c r="B258" s="17" t="s">
        <v>279</v>
      </c>
      <c r="C258" s="16">
        <f aca="true" t="shared" si="43" ref="C258:E259">C259</f>
        <v>-463262.47000000003</v>
      </c>
      <c r="D258" s="16">
        <f t="shared" si="43"/>
        <v>0</v>
      </c>
      <c r="E258" s="16">
        <f t="shared" si="43"/>
        <v>0</v>
      </c>
    </row>
    <row r="259" spans="1:5" ht="112.5">
      <c r="A259" s="22" t="s">
        <v>280</v>
      </c>
      <c r="B259" s="12" t="s">
        <v>281</v>
      </c>
      <c r="C259" s="18">
        <f t="shared" si="43"/>
        <v>-463262.47000000003</v>
      </c>
      <c r="D259" s="18">
        <f t="shared" si="43"/>
        <v>0</v>
      </c>
      <c r="E259" s="18">
        <f t="shared" si="43"/>
        <v>0</v>
      </c>
    </row>
    <row r="260" spans="1:5" ht="112.5">
      <c r="A260" s="22" t="s">
        <v>282</v>
      </c>
      <c r="B260" s="12" t="s">
        <v>283</v>
      </c>
      <c r="C260" s="18">
        <f>SUM(C261:C262)</f>
        <v>-463262.47000000003</v>
      </c>
      <c r="D260" s="18">
        <f>SUM(D261:D262)</f>
        <v>0</v>
      </c>
      <c r="E260" s="18">
        <f>SUM(E261:E262)</f>
        <v>0</v>
      </c>
    </row>
    <row r="261" spans="1:5" ht="93.75">
      <c r="A261" s="22" t="s">
        <v>284</v>
      </c>
      <c r="B261" s="12" t="s">
        <v>285</v>
      </c>
      <c r="C261" s="18">
        <v>-3240.9</v>
      </c>
      <c r="D261" s="18">
        <v>0</v>
      </c>
      <c r="E261" s="18">
        <v>0</v>
      </c>
    </row>
    <row r="262" spans="1:5" ht="112.5">
      <c r="A262" s="22" t="s">
        <v>286</v>
      </c>
      <c r="B262" s="12" t="s">
        <v>287</v>
      </c>
      <c r="C262" s="18">
        <v>-460021.57</v>
      </c>
      <c r="D262" s="18">
        <v>0</v>
      </c>
      <c r="E262" s="18">
        <v>0</v>
      </c>
    </row>
    <row r="263" spans="1:5" ht="36" customHeight="1">
      <c r="A263" s="42" t="s">
        <v>152</v>
      </c>
      <c r="B263" s="43"/>
      <c r="C263" s="23">
        <f>C29+C190</f>
        <v>365743000.07</v>
      </c>
      <c r="D263" s="23">
        <f>D29+D190</f>
        <v>306305163.96000004</v>
      </c>
      <c r="E263" s="23">
        <f>E29+E190</f>
        <v>297531115.26</v>
      </c>
    </row>
    <row r="264" spans="3:5" ht="18.75">
      <c r="C264" s="4"/>
      <c r="E264" s="4" t="s">
        <v>243</v>
      </c>
    </row>
    <row r="265" ht="18.75">
      <c r="C265" s="8"/>
    </row>
    <row r="267" ht="18.75">
      <c r="C267" s="8"/>
    </row>
    <row r="268" ht="18.75">
      <c r="D268" s="9"/>
    </row>
  </sheetData>
  <sheetProtection/>
  <mergeCells count="25">
    <mergeCell ref="C1:E1"/>
    <mergeCell ref="C2:E2"/>
    <mergeCell ref="C3:E3"/>
    <mergeCell ref="C4:E4"/>
    <mergeCell ref="C5:E5"/>
    <mergeCell ref="C6:E6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7:E7"/>
    <mergeCell ref="A263:B263"/>
    <mergeCell ref="A26:A27"/>
    <mergeCell ref="B26:B27"/>
    <mergeCell ref="C26:E26"/>
    <mergeCell ref="A24:E24"/>
    <mergeCell ref="A25:E25"/>
    <mergeCell ref="C20:E20"/>
    <mergeCell ref="C13:E13"/>
    <mergeCell ref="C14:E14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2020-07-10T11:19:16Z</cp:lastPrinted>
  <dcterms:created xsi:type="dcterms:W3CDTF">2009-08-21T08:27:43Z</dcterms:created>
  <dcterms:modified xsi:type="dcterms:W3CDTF">2020-09-16T11:01:51Z</dcterms:modified>
  <cp:category/>
  <cp:version/>
  <cp:contentType/>
  <cp:contentStatus/>
</cp:coreProperties>
</file>