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ен на 2016 год" sheetId="1" r:id="rId1"/>
  </sheets>
  <definedNames/>
  <calcPr fullCalcOnLoad="1"/>
</workbook>
</file>

<file path=xl/sharedStrings.xml><?xml version="1.0" encoding="utf-8"?>
<sst xmlns="http://schemas.openxmlformats.org/spreadsheetml/2006/main" count="674" uniqueCount="616">
  <si>
    <t>01 0 00 00000</t>
  </si>
  <si>
    <t>01 1 00 00000</t>
  </si>
  <si>
    <t>01 1 01 00000</t>
  </si>
  <si>
    <t>01 1 01 00020</t>
  </si>
  <si>
    <t>01 1 01 00030</t>
  </si>
  <si>
    <t>01 1 01 80170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</si>
  <si>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</si>
  <si>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</si>
  <si>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</si>
  <si>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</si>
  <si>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</si>
  <si>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</si>
  <si>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</si>
  <si>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</si>
  <si>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01 2 01 80150</t>
  </si>
  <si>
    <t>01 2 02 00000</t>
  </si>
  <si>
    <t>01 2 02 00040</t>
  </si>
  <si>
    <t>01 2 02 20020</t>
  </si>
  <si>
    <t>01 2 03 00000</t>
  </si>
  <si>
    <t>01 2 03 20990</t>
  </si>
  <si>
    <t>01 3 00 00000</t>
  </si>
  <si>
    <t>01 3 01 00000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</si>
  <si>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</si>
  <si>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</si>
  <si>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</si>
  <si>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</si>
  <si>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</si>
  <si>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</si>
  <si>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01 4 01 80190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</si>
  <si>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</si>
  <si>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</si>
  <si>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</si>
  <si>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</si>
  <si>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</si>
  <si>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</si>
  <si>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</si>
  <si>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</si>
  <si>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</si>
  <si>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</si>
  <si>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</si>
  <si>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01 7 00 00000</t>
  </si>
  <si>
    <t>Подпрограмма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</si>
  <si>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"Реализация мероприятий по содействию занятости"</t>
  </si>
  <si>
    <t>01 7 01 20080</t>
  </si>
  <si>
    <t>01 8 00 00000</t>
  </si>
  <si>
    <t>01 8 01 00000</t>
  </si>
  <si>
    <t>01 8 01 00090</t>
  </si>
  <si>
    <t>02 0 00 00000</t>
  </si>
  <si>
    <t>02 1 00 00000</t>
  </si>
  <si>
    <t>02 1 01 00000</t>
  </si>
  <si>
    <t>Основное мероприятие "Строительство и реконструкция автомобильных дорог общего пользования Южского муниципального района муниципального значения"</t>
  </si>
  <si>
    <t>02 1 01 20790</t>
  </si>
  <si>
    <t>Разработка проектно-сметной документации по объекту "Строительство моста через р.Теза на автомобильной дороге Хотимль-Емельяново Южского района Ивановской области"</t>
  </si>
  <si>
    <t>02 1 01 40070</t>
  </si>
  <si>
    <t xml:space="preserve">Строительство моста через р.Теза на автомобильной дороге Хотимль-Емельяново Южского района Ивановской области </t>
  </si>
  <si>
    <t>02 1 02 00000</t>
  </si>
  <si>
    <t>02 1 02 20100</t>
  </si>
  <si>
    <t>02 1 02 20110</t>
  </si>
  <si>
    <t>02 2 00 00000</t>
  </si>
  <si>
    <t>02 2 01 00000</t>
  </si>
  <si>
    <t>02 2 01 20120</t>
  </si>
  <si>
    <t>02 2 01 20130</t>
  </si>
  <si>
    <t>02 2 01 20140</t>
  </si>
  <si>
    <t>02 3 00 00000</t>
  </si>
  <si>
    <t>02 3 01 00000</t>
  </si>
  <si>
    <t>02 3 01 20150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</si>
  <si>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</si>
  <si>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</si>
  <si>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</si>
  <si>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</si>
  <si>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02 4 01 60010</t>
  </si>
  <si>
    <t>02 4 01 60080</t>
  </si>
  <si>
    <t xml:space="preserve">Предоставление субсидий на возмещение недополученных доходов по бесплатному проезду инвалидов и участников Великой Отечественной войны 1941-1945 годов на автобусных маршрутах регулярных перевозок между населенными пунктами поселений в границах Южского муниципального района </t>
  </si>
  <si>
    <t>02 5 00 00000</t>
  </si>
  <si>
    <t>02 5 01 00000</t>
  </si>
  <si>
    <t>02 5 01 50200</t>
  </si>
  <si>
    <t xml:space="preserve">Мероприятия по предоставлению социальных выплат молодым семьям на приобретение (строительство) жилого помещения </t>
  </si>
  <si>
    <t>02 5 01 L0200</t>
  </si>
  <si>
    <t>02 5 01 R0200</t>
  </si>
  <si>
    <t xml:space="preserve">Мероприятия направленные на предоставление социальных выплат молодым семьям на приобретение (строительство) жилого помещения </t>
  </si>
  <si>
    <t>02 6 00 00000</t>
  </si>
  <si>
    <t>02 6 01 00000</t>
  </si>
  <si>
    <t>02 6 01 S0280</t>
  </si>
  <si>
    <t>02 6 01 70070</t>
  </si>
  <si>
    <t xml:space="preserve">Предоставление за счет средств бюджета Южского муниципального района дополнительной субсидии в размере 5 процентов расчетной стоимости жилья </t>
  </si>
  <si>
    <t>02 6 01 80280</t>
  </si>
  <si>
    <t>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</si>
  <si>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</si>
  <si>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</si>
  <si>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</si>
  <si>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</si>
  <si>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</si>
  <si>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</si>
  <si>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</si>
  <si>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</si>
  <si>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</si>
  <si>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03 1 01 00360</t>
  </si>
  <si>
    <t>03 1 01 00370</t>
  </si>
  <si>
    <t>03 1 02 00000</t>
  </si>
  <si>
    <t>03 1 02 S0340</t>
  </si>
  <si>
    <t>03 1 02 80340</t>
  </si>
  <si>
    <t>03 2 00 00000</t>
  </si>
  <si>
    <t>03 2 01 00000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</si>
  <si>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</si>
  <si>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</si>
  <si>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</si>
  <si>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03 2 02 81430</t>
  </si>
  <si>
    <t>Средства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</si>
  <si>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03 3 00 00000</t>
  </si>
  <si>
    <t>Подпрограмма "Библиотечный фонд- стратегический ресурс общества"</t>
  </si>
  <si>
    <t>03 3 01 00000</t>
  </si>
  <si>
    <t>Основное мероприятие "Формирование фондов библиотеки"</t>
  </si>
  <si>
    <t>03 3 01 20200</t>
  </si>
  <si>
    <t>03 3 01 20210</t>
  </si>
  <si>
    <t>03 4 00 00000</t>
  </si>
  <si>
    <t>03 4 01 00000</t>
  </si>
  <si>
    <t>03 4 01 20220</t>
  </si>
  <si>
    <t>03 5 00 00000</t>
  </si>
  <si>
    <t>03 5 01 00000</t>
  </si>
  <si>
    <t>03 5 01 20230</t>
  </si>
  <si>
    <t>03 7 00 00000</t>
  </si>
  <si>
    <t>03 7 01 00000</t>
  </si>
  <si>
    <t>03 7 01 20250</t>
  </si>
  <si>
    <t>03 8 00 00000</t>
  </si>
  <si>
    <t>03 8 01 00000</t>
  </si>
  <si>
    <t>03 8 01 20270</t>
  </si>
  <si>
    <t>04 0 00 00000</t>
  </si>
  <si>
    <t>04 1 00 00000</t>
  </si>
  <si>
    <t>04 1 01 00000</t>
  </si>
  <si>
    <t>04 1 01 00380</t>
  </si>
  <si>
    <t>04 2 00 00000</t>
  </si>
  <si>
    <t>04 2 01 00000</t>
  </si>
  <si>
    <t>04 2 01 20280</t>
  </si>
  <si>
    <t>04 2 01 20290</t>
  </si>
  <si>
    <t>04 2 01 20300</t>
  </si>
  <si>
    <t>04 3 00 00000</t>
  </si>
  <si>
    <t>Подпрограмма "Молодая семья"</t>
  </si>
  <si>
    <t>04 3 01 00000</t>
  </si>
  <si>
    <t>Основное мероприятие "Организация взаимодействия с молодыми семьями"</t>
  </si>
  <si>
    <t>04 3 01 20310</t>
  </si>
  <si>
    <t>04 3 01 20320</t>
  </si>
  <si>
    <t>04 4 00 00000</t>
  </si>
  <si>
    <t>04 4 01 00000</t>
  </si>
  <si>
    <t>04 4 01 20330</t>
  </si>
  <si>
    <t>04 5 00 00000</t>
  </si>
  <si>
    <t>04 5 01 00000</t>
  </si>
  <si>
    <t>04 5 01 20340</t>
  </si>
  <si>
    <t>04 5 01 20350</t>
  </si>
  <si>
    <t>04 6 00 00000</t>
  </si>
  <si>
    <t>04 6 01 00000</t>
  </si>
  <si>
    <t>04 6 01 20360</t>
  </si>
  <si>
    <t>04 6 01 20370</t>
  </si>
  <si>
    <t>04 7 00 00000</t>
  </si>
  <si>
    <t>04 7 01 00000</t>
  </si>
  <si>
    <t>04 7 01 20840</t>
  </si>
  <si>
    <t>05 0 00 00000</t>
  </si>
  <si>
    <t>05 1 00 00000</t>
  </si>
  <si>
    <t>05 1 01 00000</t>
  </si>
  <si>
    <t>05 1 01 60020</t>
  </si>
  <si>
    <t>05 1 01 60030</t>
  </si>
  <si>
    <t>05 1 01 60040</t>
  </si>
  <si>
    <t>05 1 01 60050</t>
  </si>
  <si>
    <t>05 1 02 00000</t>
  </si>
  <si>
    <t>Основное мероприятие "Поддержка растениеводства"</t>
  </si>
  <si>
    <t>05 1 02 60090</t>
  </si>
  <si>
    <t>05 1 03 00000</t>
  </si>
  <si>
    <t>Основное мероприятие "Племенное животноводство"</t>
  </si>
  <si>
    <t>05 1 03 60100</t>
  </si>
  <si>
    <t>05 2 00 00000</t>
  </si>
  <si>
    <t>05 2 01 00000</t>
  </si>
  <si>
    <t>05 2 01 20380</t>
  </si>
  <si>
    <t>05 3 00 00000</t>
  </si>
  <si>
    <t>05 3 01 00000</t>
  </si>
  <si>
    <t>05 3 01 20390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</si>
  <si>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</si>
  <si>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</si>
  <si>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</si>
  <si>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</si>
  <si>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</si>
  <si>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</si>
  <si>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</si>
  <si>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</si>
  <si>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</si>
  <si>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</si>
  <si>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</si>
  <si>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07 1 01 20470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</si>
  <si>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</si>
  <si>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</si>
  <si>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</si>
  <si>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</si>
  <si>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</si>
  <si>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07 1 02 20490</t>
  </si>
  <si>
    <t>07 5 00 00000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</si>
  <si>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организациям, не являющимся государственными (муниципальными) учреждениями"</t>
  </si>
  <si>
    <t>07 5 01 00000</t>
  </si>
  <si>
    <t>Основное мероприятие "Финансовая поддержка социально ориентированным некоммерческим организациям"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</si>
  <si>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</si>
  <si>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</si>
  <si>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</si>
  <si>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</si>
  <si>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</si>
  <si>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</si>
  <si>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</si>
  <si>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</si>
  <si>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08 1 02 20530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</si>
  <si>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</si>
  <si>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</si>
  <si>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</si>
  <si>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</si>
  <si>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</si>
  <si>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</si>
  <si>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</si>
  <si>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</si>
  <si>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</si>
  <si>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08 2 01 00310</t>
  </si>
  <si>
    <t>08 3 00 00000</t>
  </si>
  <si>
    <t>08 3 02 00000</t>
  </si>
  <si>
    <t>08 3 02 20600</t>
  </si>
  <si>
    <t>09 0 00 00000</t>
  </si>
  <si>
    <t>09 1 00 00000</t>
  </si>
  <si>
    <t>09 1 01 00000</t>
  </si>
  <si>
    <t>09 1 01 20660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</si>
  <si>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</si>
  <si>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</si>
  <si>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</si>
  <si>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Основное мероприятие "Профилактика правонарушений"</t>
  </si>
  <si>
    <t>09 2 01 20670</t>
  </si>
  <si>
    <t>09 2 01 20680</t>
  </si>
  <si>
    <t>09 2 01 20690</t>
  </si>
  <si>
    <t>09 2 01 20700</t>
  </si>
  <si>
    <t>30 9 00 00000</t>
  </si>
  <si>
    <t>30 9 00 00200</t>
  </si>
  <si>
    <t>30 9 00 00210</t>
  </si>
  <si>
    <t>30 9 00 00220</t>
  </si>
  <si>
    <t>30 9 00 00230</t>
  </si>
  <si>
    <t>30 9 00 70050</t>
  </si>
  <si>
    <t>30 9 00 88040</t>
  </si>
  <si>
    <t>31 9 00 00000</t>
  </si>
  <si>
    <t>31 9 00 00240</t>
  </si>
  <si>
    <t>31 9 00 70040</t>
  </si>
  <si>
    <t>31 9 00 80370</t>
  </si>
  <si>
    <t>31 9 00 88010</t>
  </si>
  <si>
    <t>31 9 00 88020</t>
  </si>
  <si>
    <t>31 9 00 88030</t>
  </si>
  <si>
    <t>31 9 00 88050</t>
  </si>
  <si>
    <t>03 9 00 00000</t>
  </si>
  <si>
    <t>03 9 01 00000</t>
  </si>
  <si>
    <t>03 Б 00 00000</t>
  </si>
  <si>
    <t>03 Б 01 00000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</si>
  <si>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</si>
  <si>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</si>
  <si>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</si>
  <si>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</si>
  <si>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>Сумма, руб.</t>
  </si>
  <si>
    <t>Приложение № 6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</si>
  <si>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</si>
  <si>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</si>
  <si>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</si>
  <si>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</si>
  <si>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 xml:space="preserve">на 2016 год" </t>
  </si>
  <si>
    <t>Подпрограмма "Водохозяйственные мероприятия на оз. Вазаль Южского муниципального района"</t>
  </si>
  <si>
    <t>Основное мероприятие "Проведение мероприятий направленных на содержание плотины на р.Пионерка (оз. Вазаль)"</t>
  </si>
  <si>
    <t xml:space="preserve">30 9 00 00350 </t>
  </si>
  <si>
    <t>08 1 03 20550</t>
  </si>
  <si>
    <t>05 2 01 21140</t>
  </si>
  <si>
    <t xml:space="preserve">05 3 01 21150 </t>
  </si>
  <si>
    <t>05 3 01 21160</t>
  </si>
  <si>
    <t>01 2 03 20760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</si>
  <si>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</si>
  <si>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</si>
  <si>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</si>
  <si>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</si>
  <si>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</si>
  <si>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</si>
  <si>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</si>
  <si>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</si>
  <si>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аппаратурой спутниковой навигации ГЛОНАСС (Предоставление субсидий бюджетным, автономным учреждениям и иным некоммерческим организациям)</t>
  </si>
  <si>
    <t>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</si>
  <si>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(Предоставление субсидий бюджетным, автономным учреждениям и иным некоммерческим организациям)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</si>
  <si>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</si>
  <si>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сборной молодежной команды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</si>
  <si>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Продвижение туристического продукта Южского муниципального района на туристических рынках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</si>
  <si>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(Предоставление субсидий бюджетным, автономным учреждениям и иным некоммерческим организациям)</t>
  </si>
  <si>
    <t>Обеспечение доступности услуг в сфере образования для детей - инвалидов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</si>
  <si>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(Предоставление субсидий бюджетным, автономным учреждениям и иным некоммерческим организациям)</t>
  </si>
  <si>
    <t>Обеспечение доступности зданий и сооружений в приоритетных сферах жизнедеятельности инвалидов и других маломобильных групп населения (Предоставление субсидий бюджетным, автономным учреждениям и иным некоммерческим организациям)</t>
  </si>
  <si>
    <t>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</si>
  <si>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</si>
  <si>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(Иные бюджетные ассигнования)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</si>
  <si>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</si>
  <si>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Организация и проведение мероприятий по работе с детьми и молодёжью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</si>
  <si>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по аренде выставочных площадей для участия в выставочно-ярморочных мероприятиях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</si>
  <si>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(Иные бюджетные ассигнования)</t>
  </si>
  <si>
    <t xml:space="preserve"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предпринимательства, связанных с оплатой услуг по сертификации (Иные бюджетные ассигнования) </t>
  </si>
  <si>
    <t>Обеспечение функционирования Контрольно-счетного органа Южского муниципального района (Иные бюджетные ассигнования)</t>
  </si>
  <si>
    <t>31 9 00 51200</t>
  </si>
  <si>
    <t>01 7 01 00000</t>
  </si>
  <si>
    <t>31 9 00 S0650</t>
  </si>
  <si>
    <t>08 1 05 00000</t>
  </si>
  <si>
    <t>08 1 05 21180</t>
  </si>
  <si>
    <t>03 7 01 S0650</t>
  </si>
  <si>
    <t>03 9 01 21190</t>
  </si>
  <si>
    <t>03 9 01 21200</t>
  </si>
  <si>
    <t>03 9 01 21210</t>
  </si>
  <si>
    <t>03 Б 01 21220</t>
  </si>
  <si>
    <t>03 Б 01 21230</t>
  </si>
  <si>
    <t>Оказание поддержки сельскохозяйственным товаропроизводителям в области растениеводства  (Иные бюджетные ассигнования)</t>
  </si>
  <si>
    <t>Оказание поддержки сельскохозяйственным товаропроизводителям на развитие племенного животноводства (Иные бюджетные ассигнования)</t>
  </si>
  <si>
    <t>01 3 01 00320</t>
  </si>
  <si>
    <t>03 2 02 00330</t>
  </si>
  <si>
    <t>Распределение бюджетных ассигнований бюджета Южского муниципального района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 бюджетов на 2016 год</t>
  </si>
  <si>
    <t>Оснащение приборами учета потребления коммунальных ресурсов муниципальных учреждений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</si>
  <si>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</si>
  <si>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</si>
  <si>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</si>
  <si>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 xml:space="preserve">Содержание дорог местного значения и инженерных сооружений на них (Закупка товаров, работ и услуг для обеспечения государственных (муниципальных) нужд) </t>
  </si>
  <si>
    <t>Организация профилактики детского дорожного травматизма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</si>
  <si>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</si>
  <si>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Обновление библиотечных фондов отделов МКУК "Южская МЦБ", закупка отраслевой литературы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</si>
  <si>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</si>
  <si>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</si>
  <si>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Организация досуга молодых семей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</si>
  <si>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</si>
  <si>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</si>
  <si>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физической культуры и спорта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</si>
  <si>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</si>
  <si>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</si>
  <si>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</si>
  <si>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Повышение уровня обеспечения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</si>
  <si>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Формирование общественного мнения, поддерживающего цели и задачи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</si>
  <si>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</si>
  <si>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</si>
  <si>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</si>
  <si>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</si>
  <si>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</si>
  <si>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</si>
  <si>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</si>
  <si>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</si>
  <si>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</si>
  <si>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</si>
  <si>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Составление (изменение) списков кандидатов в присяжные заседатели федеральных судов общей юрисдикции в Российской Федерации (Межбюджетные трансферты)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</si>
  <si>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</si>
  <si>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06 1 01 20400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</si>
  <si>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</si>
  <si>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25.12.2015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52 </t>
    </r>
  </si>
  <si>
    <t>08 3 04 00000</t>
  </si>
  <si>
    <t>08 3 04 20630</t>
  </si>
  <si>
    <t>03 7 01 S1980</t>
  </si>
  <si>
    <t>03 7 01 81980</t>
  </si>
  <si>
    <r>
      <t xml:space="preserve">Подпрограмма "Музейно-выставочная деятельность в Южском муниципальном районе"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</si>
  <si>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Основное мероприятие "Содействие развитию музейно- выставочной деятельности"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</si>
  <si>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Активизация издательской деятельности музеев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</si>
  <si>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Укрепление материально-технической базы музеев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</si>
  <si>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Создание музея под открытым небом "Город Сад фабрикантов Балиных"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</si>
  <si>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Проведение историко-культурной экспертизы выявленных объектов культурного наследия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</si>
  <si>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Обеспечение сохранности объектов культурного наследия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</si>
  <si>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Подпрограмма "Развитие туризма в Южском муниципальном районе"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</si>
  <si>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Основное мероприятие "Развитие туристической инфраструктуры"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</si>
  <si>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Повышение качества предоставляемых населению платных туристических услуг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</si>
  <si>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Продвижение туристического продукта Южского муниципального района на туристических рынках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</si>
  <si>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Подпрограмма "Строительство плоскостных спортивных сооружений в Южском муниципальном районе"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</si>
  <si>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Основное мероприятие "Укрепление материально-технической базы многофункциональных спортивных площадок"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</si>
  <si>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Изготовление и установка металлического ограждения по периметру спортивной базы МБОУДОД "Детский оздоровительно-образовательный (профильный) центр" г.Южи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</si>
  <si>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Подпрограмма "Развитие малого и среднего предпринимательства"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</si>
  <si>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Основное мероприятие "Поддержка малого и среднего предпринимательства"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</si>
  <si>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(Иные бюджетные ассигнования) </t>
    </r>
    <r>
      <rPr>
        <i/>
        <sz val="10"/>
        <color indexed="56"/>
        <rFont val="Times New Roman"/>
        <family val="1"/>
      </rPr>
      <t xml:space="preserve">(в редакции решения Совета Южского муниципального района от 05.02.2016 № 8) </t>
    </r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</si>
  <si>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05.02.2016 № 8)</t>
    </r>
  </si>
  <si>
    <r>
      <t xml:space="preserve">Подпрограмма "Энергосбережение и повышение энергетической эффективности в муниципальных учреждениях"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</si>
  <si>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Основное мероприятие "Повышение энергетической эффективности учреждений Южского муниципального района"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</si>
  <si>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</si>
  <si>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</si>
  <si>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Вознаграждение гражданам имеющим звание "Почетный гражданин Южского муниципального района Ивановской области" или награжденным Почетной грамотой Южского муниципального района (Социальное обеспечение и иные выплаты населению)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</si>
  <si>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t>31 9 00 00390</t>
  </si>
  <si>
    <t>31 9 00 20770</t>
  </si>
  <si>
    <r>
      <t>Закупка глубинного насоса для артезианской скважины в с. Холуй Южского муниципального района Ивановской области с целью восстановления водоснабжения в МБДОУ Холуйский детский сад и МКОУ СОШ с. Холуй (Закупка товаров, работ и услуг для обеспечения государственных (муниципальных) нужд)</t>
    </r>
    <r>
      <rPr>
        <i/>
        <sz val="10"/>
        <color indexed="56"/>
        <rFont val="Times New Roman"/>
        <family val="1"/>
      </rPr>
      <t xml:space="preserve"> (добавлена строка в соответствии с решением Совета Южского муниципального района от 05.02.2016 № 8) </t>
    </r>
  </si>
  <si>
    <t>31 9 00 53910</t>
  </si>
  <si>
    <t>31 9 00 81950</t>
  </si>
  <si>
    <t>31 9 00 S1950</t>
  </si>
  <si>
    <r>
  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03.03.2016 № 16)</t>
    </r>
  </si>
  <si>
    <r>
  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03.03.2016 № 16)</t>
    </r>
  </si>
  <si>
    <r>
      <t xml:space="preserve"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03.03.2016 № 16)</t>
    </r>
  </si>
  <si>
    <r>
      <t xml:space="preserve"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 xml:space="preserve">(в редакции решения Совета Южского муниципального района от 03.03.2016 № 16) </t>
    </r>
  </si>
  <si>
    <r>
      <t xml:space="preserve">Основное мероприятие "Повышение средней заработной платы работникам муниципальных учреждений культуры"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03.03.2016 № 16)</t>
    </r>
  </si>
  <si>
    <r>
      <t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sz val="14"/>
        <color indexed="56"/>
        <rFont val="Times New Roman"/>
        <family val="1"/>
      </rPr>
      <t xml:space="preserve">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03.03.2016 № 16)</t>
    </r>
  </si>
  <si>
    <r>
      <t>Укрепление материально-технической базы образовательных учреждений Южского муниципального района (Закупка товаров, работ и услуг для обеспечения государственных (муниципальных) нужд)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05.02.2016 № 8) </t>
    </r>
  </si>
  <si>
    <r>
      <t xml:space="preserve">Укрепление материально-технической базы 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  </r>
    <r>
      <rPr>
        <i/>
        <sz val="10"/>
        <color indexed="56"/>
        <rFont val="Times New Roman"/>
        <family val="1"/>
      </rPr>
      <t xml:space="preserve">(в редакции решения Совета Южского муниципального района от 05.02.2016 № 8) </t>
    </r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</si>
  <si>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05.02.2016 № 8)</t>
    </r>
  </si>
  <si>
    <r>
      <t>Организация питания обучающихся 5-11 классов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05.02.2016 № 8)</t>
    </r>
  </si>
  <si>
    <r>
      <t xml:space="preserve">Подпрограмма "Одарённые дети"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</si>
  <si>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Основное мероприятие "Поддержка творчески одаренных детей"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</si>
  <si>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</si>
  <si>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05.02.2016 № 8)</t>
    </r>
  </si>
  <si>
    <r>
  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03.03.2016 № 16)</t>
    </r>
  </si>
  <si>
    <r>
  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03.03.2016 № 16)</t>
    </r>
  </si>
  <si>
    <r>
  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  </r>
    <r>
      <rPr>
        <i/>
        <sz val="10"/>
        <color indexed="56"/>
        <rFont val="Times New Roman"/>
        <family val="1"/>
      </rPr>
      <t xml:space="preserve">(в редакции решения Совета Южского муниципального района от 05.02.2016 № 8)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</si>
  <si>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color indexed="56"/>
        <rFont val="Times New Roman"/>
        <family val="1"/>
      </rPr>
      <t xml:space="preserve"> (в редакции решений Совета Южского муниципального района от 05.02.2016 № 8, от 03.03.2016 № 16)</t>
    </r>
  </si>
  <si>
    <r>
      <t xml:space="preserve">Основное мероприятие "Содействие развитию учреждений культуры"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03.03.2016 № 16)</t>
    </r>
  </si>
  <si>
    <r>
  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03.03.2016 № 16)</t>
    </r>
  </si>
  <si>
    <r>
      <t xml:space="preserve">Укрепление материально-технической базы учреждений культуры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05.02.2016 № 8)</t>
    </r>
  </si>
  <si>
    <r>
      <t xml:space="preserve">Укрепление материально-технической базы учреждений культуры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соотсветствии с решением Совета Южского муниципального района от 05.02.2016 № 8) (в редакции решения Совета Южского муниципального района от 03.03.2016 № 16)</t>
    </r>
  </si>
  <si>
    <r>
  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03.03.2016 № 16)</t>
    </r>
  </si>
  <si>
    <r>
  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03.03.2016 № 16)</t>
    </r>
  </si>
  <si>
    <r>
  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05.02.2016 № 8)</t>
    </r>
  </si>
  <si>
    <r>
      <t xml:space="preserve">Подпрограмма "Гражданско-патриотическое воспитание детей, подростков и молодежи"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18.03.2016 № 28)</t>
    </r>
  </si>
  <si>
    <r>
      <t xml:space="preserve">Основное мероприятие "Развитие чувства патриотизма у детей, подростков и молодежи"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18.03.2016 № 28)</t>
    </r>
  </si>
  <si>
    <r>
  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18.03.2016 № 28)</t>
    </r>
  </si>
  <si>
    <r>
      <t xml:space="preserve">Подпрограмма "Реализация молодежной политики в Южском муниципальном районе"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18.03.2016 № 28)</t>
    </r>
  </si>
  <si>
    <r>
      <t xml:space="preserve">Основное мероприятие "Организация мероприятий в молодежной среде"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18.03.2016 № 28)</t>
    </r>
  </si>
  <si>
    <r>
      <t xml:space="preserve">Основное мероприятие "Развитие кадрового потенциала работников органов местного самоуправления"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18.03.2016 № 28)</t>
    </r>
  </si>
  <si>
    <r>
      <t xml:space="preserve"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18.03.2016 № 28)</t>
    </r>
  </si>
  <si>
    <r>
      <t xml:space="preserve"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18.03.2016 № 28)</t>
    </r>
  </si>
  <si>
    <r>
      <t xml:space="preserve"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18.03.2016 № 28)</t>
    </r>
  </si>
  <si>
    <t>08 1 05 21270</t>
  </si>
  <si>
    <t>08 1 05 21280</t>
  </si>
  <si>
    <r>
      <t xml:space="preserve">Проведение работ по очистке кровли МБДОУ детский сад "Тополек" г. Южи от наледи и снега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18.03.2016 № 28)</t>
    </r>
    <r>
      <rPr>
        <sz val="14"/>
        <rFont val="Times New Roman"/>
        <family val="1"/>
      </rPr>
      <t xml:space="preserve"> </t>
    </r>
  </si>
  <si>
    <t>31 9 00 21260</t>
  </si>
  <si>
    <r>
  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13.04.2016 № 34)</t>
    </r>
  </si>
  <si>
    <r>
  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13.04.2016 № 34)</t>
    </r>
    <r>
      <rPr>
        <sz val="14"/>
        <rFont val="Times New Roman"/>
        <family val="1"/>
      </rPr>
      <t xml:space="preserve"> </t>
    </r>
  </si>
  <si>
    <r>
      <t>Проведение спортивно-оздоровительных и спортивно-массовых мероприятий (Иные бюджетные ассигнования)</t>
    </r>
    <r>
      <rPr>
        <sz val="14"/>
        <color indexed="56"/>
        <rFont val="Times New Roman"/>
        <family val="1"/>
      </rPr>
      <t xml:space="preserve">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13.04.2016 № 34)</t>
    </r>
  </si>
  <si>
    <r>
      <t xml:space="preserve">Автоматизация кадровых процедур и внедрение информационных технологий в систему управления кадровыми ресурсами (Система "Парус-Кадры")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13.04.2016 № 34)</t>
    </r>
  </si>
  <si>
    <r>
      <t xml:space="preserve">Основное мероприятие "Развитие кадрового потенциала не муниципальных служащих"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13.04.2016 № 34)</t>
    </r>
  </si>
  <si>
    <r>
      <t xml:space="preserve">Организация повышения квалификации, профессиональной переподготовки не муниципальных служащих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13.04.2016 № 34)</t>
    </r>
  </si>
  <si>
    <r>
      <t xml:space="preserve">Обеспечение функционирования Совета Южского муниципального района (Иные бюджетные ассигнования) </t>
    </r>
    <r>
      <rPr>
        <i/>
        <sz val="10"/>
        <color indexed="56"/>
        <rFont val="Times New Roman"/>
        <family val="1"/>
      </rPr>
      <t xml:space="preserve">(в редакции решения Совета Южского муниципального района от 13.04.2016 № 34) </t>
    </r>
  </si>
  <si>
    <r>
  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внутреннего контроля за исполнением бюджетов поселений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03.03.2016 № 16, от 13.04.2016 № 34)</t>
    </r>
  </si>
  <si>
    <r>
  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внутреннего контроля за исполнением бюджетов поселений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13.04.2016 № 34)</t>
    </r>
  </si>
  <si>
    <r>
  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 xml:space="preserve"> (в редакции решений Совета Южского муниципального района от 05.02.2016 № 8, от 03.03.2016 № 16, от 13.04.2016 № 34)</t>
    </r>
  </si>
  <si>
    <r>
      <t xml:space="preserve">Организация работы лагерей с дневным пребыванием и профильных лагерей с дневным пребыванием детей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13.04.2016 № 34)</t>
    </r>
  </si>
  <si>
    <r>
  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color indexed="56"/>
        <rFont val="Times New Roman"/>
        <family val="1"/>
      </rPr>
      <t xml:space="preserve"> (в редакции решений Совета Южского муниципального района от 13.04.2016 № 34, от 27.04.2016 № 45) </t>
    </r>
  </si>
  <si>
    <r>
  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27.04.2016 № 45)</t>
    </r>
  </si>
  <si>
    <r>
      <t xml:space="preserve"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03.03.2016 № 16)(в редакции решения Совета Южского муниципального района от 27.05.2016 № 49)</t>
    </r>
  </si>
  <si>
    <r>
  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27.05.2016 № 49)</t>
    </r>
  </si>
  <si>
    <r>
  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27.05.2016 № 49)</t>
    </r>
  </si>
  <si>
    <r>
  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27.05.2016 № 49) </t>
    </r>
  </si>
  <si>
    <r>
      <t xml:space="preserve">Основное мероприятие "Организация отдыха и оздоровления детей" </t>
    </r>
  </si>
  <si>
    <t>31 9 00 21290</t>
  </si>
  <si>
    <r>
      <t xml:space="preserve">Проведение работ по откачке канализационных сточных фод из цокольного этажа МБОУК СОШ № 3 г. Южи Ивановской области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27.05.2016 № 49) </t>
    </r>
  </si>
  <si>
    <r>
      <t xml:space="preserve">Проведение диспансеризации муниципальных служащих Администрации Южского муниципального района на исполнение решения Южского районного Суда Ивановской области от 29.01.2016 № 2а-163/2016 (Закупка товаров, работ и услуг для обеспечения государственных (муниципальных) нужд) 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27.05.2016 № 49)  </t>
    </r>
  </si>
  <si>
    <t>31 9 00 21300</t>
  </si>
  <si>
    <r>
      <t xml:space="preserve">Проведение Всероссийской сельскохозяйственной переписи в 2016 году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05.02.2016 № 8) (в редакции решений Совета Южского муниципального района от 27.04.2016 № 45, от 27.05.2016 № 49)</t>
    </r>
  </si>
  <si>
    <r>
      <t>Укрепление материально-технической базы 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</t>
    </r>
    <r>
      <rPr>
        <i/>
        <sz val="10"/>
        <color indexed="56"/>
        <rFont val="Times New Roman"/>
        <family val="1"/>
      </rPr>
      <t xml:space="preserve"> (добавлена строка в соответствии с решением Совета Южского муниципального района от 05.02.2016 № 8) (в редакции решений Совета Южского муниципального района от 27.04.2016 № 45, от 27.05.2016 № 49) </t>
    </r>
  </si>
  <si>
    <r>
      <t xml:space="preserve">Подпрограмма "Обеспечение жильем молодых семей в Южском муниципальном районе"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13.04.2016 № 34, от 27.05.2016 № 49, от 24.06.2016 № 64)</t>
    </r>
  </si>
  <si>
    <r>
      <t xml:space="preserve">Основное мероприятие "Обеспечение жильем молодых семей"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13.04.2016 № 34, от 27.05.2016 № 49, от 24.06.2016 № 64)</t>
    </r>
  </si>
  <si>
    <t>02 5 01 70080</t>
  </si>
  <si>
    <r>
  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24.06.2016 № 64)</t>
    </r>
  </si>
  <si>
    <r>
      <t xml:space="preserve">Подпрограмма "Поддержка граждан в сфере ипотечного жилищного кредитования в Южском муниципальном районе"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24.06.2016 № 64)</t>
    </r>
  </si>
  <si>
    <r>
      <t xml:space="preserve">Основное мероприятие "Государственная поддержка граждан в сфере ипотечного жилищного кредитования"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24.06.2016 № 64)</t>
    </r>
  </si>
  <si>
    <r>
      <t>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(в редакции решений Совета Южского муниципального района от 05.02.2016 № 8, от 24.06.2016 № 64) </t>
    </r>
  </si>
  <si>
    <r>
      <t xml:space="preserve">Подпрограмма "Поддержка и развитие театрального движения в Южском муниципальном районе Ивановской области "ЮЖСКОЕ ДОСТОЯНИЕ"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24.06.2016 № 64)</t>
    </r>
  </si>
  <si>
    <r>
      <t xml:space="preserve">Основное мероприятие "Сохранение и развитие самодеятельного театрального движения"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24.06.2016 № 64)</t>
    </r>
  </si>
  <si>
    <r>
      <t xml:space="preserve">Поддержка развития театрального движения в Южском муниципальном районе Ивановской области "ЮЖСКОЕ ДОСТОЯНИЕ" 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24.06.2016 № 64)</t>
    </r>
  </si>
  <si>
    <r>
      <t>Подпрограмма "Охрана объектов культурного наследия, расположенных на территории Южского муниципального района"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24.06.2016 № 64) </t>
    </r>
  </si>
  <si>
    <r>
      <t xml:space="preserve"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05.02.2016 № 8)(в редакции решения Совета Южского муниципального района от 24.06.2016 № 64)</t>
    </r>
  </si>
  <si>
    <r>
      <t xml:space="preserve"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 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05.02.2016 № 8)(в редакции решения Совета Южского муниципального района от 24.06.2016 № 64)</t>
    </r>
  </si>
  <si>
    <r>
      <t xml:space="preserve">Подпрограмма "Обеспечение финансирования работ по формированию земельных участков на территории Южского муниципального района"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24.06.2016 № 64)</t>
    </r>
  </si>
  <si>
    <r>
      <t xml:space="preserve">Основное мероприятие "Управление и распоряжение земельными ресурсами"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24.06.2016 № 64)</t>
    </r>
  </si>
  <si>
    <r>
  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24.06.2016 № 64)</t>
    </r>
  </si>
  <si>
    <r>
      <t xml:space="preserve">Организация и проведение мероприятий по изучению состояния земель, планированию и организации рационального использования земель и их охраны, описанию местоположения и (или) установлению на местности границ объектов землеустройства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24.06.2016 № 64)</t>
    </r>
  </si>
  <si>
    <r>
      <t xml:space="preserve">Организация проведения работ по технической инвентаризации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24.06.2016 № 64)</t>
    </r>
  </si>
  <si>
    <r>
  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24.06.2016 № 64)</t>
    </r>
  </si>
  <si>
    <r>
      <t xml:space="preserve">Замена труб отопления в теплотрассе МБДОУ детского сада "Светлячок"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24.06.2016 № 64)</t>
    </r>
  </si>
  <si>
    <t>31 9 00 21310</t>
  </si>
  <si>
    <r>
      <t xml:space="preserve">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05.02.2016 № 8) (в редакции решения Совета Южского муниципального района от 24.06.2016 № 64) </t>
    </r>
  </si>
  <si>
    <r>
      <t>Укрепление материально-технической базы образовательных учреждений Южского муниципального района (Закупка товаров, работ и услуг для обеспечения государственных (муниципальных) нужд)</t>
    </r>
    <r>
      <rPr>
        <i/>
        <sz val="10"/>
        <color indexed="56"/>
        <rFont val="Times New Roman"/>
        <family val="1"/>
      </rPr>
      <t xml:space="preserve"> (добавлена строка в соответствии с решением Совета Южского муниципального района от 05.02.2016 № 8) (в редакции решений Совета Южского муниципального района от 27.04.2016 № 45, от 27.05.2016 № 49, от 24.06.2016 № 64) </t>
    </r>
  </si>
  <si>
    <r>
      <t xml:space="preserve">Укрепление материально-технической базы муниципальных образовательных организаций Ивановской области в части реализации мероприятий по созданию в общеобразовательных организациях Ивановской области, расположенных в сельской местности, условий для занятий физической культурой и спортом в 2016 году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24.06.2016 № 64)</t>
    </r>
  </si>
  <si>
    <t>31 9 00 R0970</t>
  </si>
  <si>
    <t>31 9 00 L0970</t>
  </si>
  <si>
    <r>
      <t xml:space="preserve">Обеспечение улучшения организации дорожного движения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29.07.2016 № 69)</t>
    </r>
  </si>
  <si>
    <r>
      <t xml:space="preserve">Подпрограмма "Инвестиции в объекты размещения отходов и их рекультивацию"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29.07.2016 № 69)</t>
    </r>
  </si>
  <si>
    <r>
      <t xml:space="preserve">Основное мероприятие "Обращение с отходами производства и потребления"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29.07.2016 № 69)</t>
    </r>
  </si>
  <si>
    <r>
      <t xml:space="preserve">Рекультивация Южской городской свалки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29.07.2016 № 69)</t>
    </r>
  </si>
  <si>
    <r>
      <t xml:space="preserve">Основное мероприятие "Обеспечение безопасности"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29.07.2016 № 69)</t>
    </r>
  </si>
  <si>
    <r>
      <t xml:space="preserve">Проведение специальной оценки условий труда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29.07.2016 № 69) </t>
    </r>
  </si>
  <si>
    <t>03 4 01 21350</t>
  </si>
  <si>
    <r>
      <t xml:space="preserve">Оценка недвижимости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24.06.2016 № 64, от 29.07.2016 № 69)</t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</si>
  <si>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</si>
  <si>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</si>
  <si>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31 9 00 21311</t>
  </si>
  <si>
    <r>
      <t xml:space="preserve">Благоустройство территории, прилегающей к зданию МБУ "Южский МФЦ "Мои документы", в части укладки твердого покрытия 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29.07.2016 № 69) </t>
    </r>
  </si>
  <si>
    <t>31 9 00 21340</t>
  </si>
  <si>
    <r>
      <t xml:space="preserve">Укрепление материально-технической базы  муниципальных учреждений культуры Ивановской области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соотсветствии с решением Совета Южского муниципального района от 05.02.2016 № 8)</t>
    </r>
  </si>
  <si>
    <r>
      <t xml:space="preserve">Организация питания обучающихся 1-4 классов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26.08.2016 № 72)</t>
    </r>
  </si>
  <si>
    <t>01 2 03 21360</t>
  </si>
  <si>
    <r>
      <t xml:space="preserve"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 от 26.08.2016 № 72)</t>
    </r>
  </si>
  <si>
    <t>31 9 00 21370</t>
  </si>
  <si>
    <r>
      <t xml:space="preserve">Проведение текущего ремонта системы отопления в здании МБОУ Талицкая средняя школа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26.08.2016 № 72)</t>
    </r>
  </si>
  <si>
    <t>31 9 00 21380</t>
  </si>
  <si>
    <t>31 9 00 21390</t>
  </si>
  <si>
    <r>
      <t xml:space="preserve">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26.08.2016 № 72)</t>
    </r>
  </si>
  <si>
    <r>
      <t xml:space="preserve">Укрепление материально-технической базы муниципальных образовательных организаций Ивановской области 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05.02.2016 № 8) (в редакции решения Совета Южского муниципального района от 24.06.2016 № 64) </t>
    </r>
  </si>
  <si>
    <r>
      <t xml:space="preserve">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26.08.2016 № 72)</t>
    </r>
  </si>
  <si>
    <t>31 9 00 90030</t>
  </si>
  <si>
    <r>
      <t xml:space="preserve">Исполнение судебного акта от 26.02.2016 года по делу № А17-6886/2014 Арбитражного суда Ивановской области о взыскании с муниципального образования Южский муниципальный район Ивановской области в лице Администрации Южского муниципального района Ивановской области за счет казны Южского муниципального района в пользу общества с ограниченной ответственностью "ТалицыКомсервис" (Иные бюджетные ассигнования)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26.08.2016 № 72)</t>
    </r>
  </si>
  <si>
    <r>
      <t xml:space="preserve">Организация временного трудоустройства несовершеннолетних граждан в возрасте от 14 до 18 лет в свободное от учебы время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30.09.2016 № 74)</t>
    </r>
  </si>
  <si>
    <r>
      <t>Организация временного трудоустройства несовершеннолетних граждан в возрасте от 14 до 18 лет в свободное от учебы время (Предоставление субсидий бюджетным, автономным учреждениям и иным некоммерческим организациям)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30.09.2016 № 74)</t>
    </r>
  </si>
  <si>
    <r>
      <t xml:space="preserve">Непрограммные направления деятельности органов местного самоуправления Южского муниципального района и иных органов местного самоуправления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03.03.2016 № 16, от 24.06.2016 № 64, от 30.09.2016 № 74)</t>
    </r>
  </si>
  <si>
    <r>
      <t xml:space="preserve"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 xml:space="preserve">(в редакции решения Совета Южского муниципального района от 30.09.2016 № 74) </t>
    </r>
  </si>
  <si>
    <r>
  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03.03.2016 № 16, от 18.03.2016 № 28, от 28.10.2016 № 83)</t>
    </r>
  </si>
  <si>
    <r>
      <t xml:space="preserve">Основное мероприятие "Содействие развитию общего образования"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28.10.2016 № 83)</t>
    </r>
  </si>
  <si>
    <r>
  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28.10.2016 № 83)</t>
    </r>
  </si>
  <si>
    <r>
      <t xml:space="preserve"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28.10.2016 № 83)</t>
    </r>
  </si>
  <si>
    <r>
      <t xml:space="preserve">Финансовое обеспечение деятельности структурных подразделений (Иные бюджетные ассигнования)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26.08.2016 № 72, от 28.10.2016 № 83)</t>
    </r>
  </si>
  <si>
    <r>
  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28.10.2016 № 83)</t>
    </r>
  </si>
  <si>
    <r>
      <t>Библиотечное, библиографическое и информационное обслуживание пользователей (Иные бюджетные ассигнования)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28.10.2016 № 83)</t>
    </r>
  </si>
  <si>
    <r>
      <t xml:space="preserve">Подпрограмма "Дополнительное образование детей в сфере культуры и искусства"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28.10.2016 № 83)</t>
    </r>
  </si>
  <si>
    <r>
      <t xml:space="preserve">Основное мероприятие "Реализация дополнительных общеобразовательных программ"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28.10.2016 № 83)</t>
    </r>
  </si>
  <si>
    <r>
      <t xml:space="preserve"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28.10.2016 № 83)</t>
    </r>
  </si>
  <si>
    <r>
      <t xml:space="preserve">Организация и проведение мероприятий по работе с детьми и молодёжью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24.06.2016 № 64, от 28.10.2016 № 83)</t>
    </r>
  </si>
  <si>
    <r>
      <t xml:space="preserve">Проведение мероприятий среди молодежи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18.03.2016 № 28, от 28.10.2016 № 83)</t>
    </r>
  </si>
  <si>
    <r>
      <t xml:space="preserve">Проведение мероприятий среди молодежи  (Иные бюджетные ассигнования)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28.10.2016 № 83)</t>
    </r>
  </si>
  <si>
    <r>
      <t xml:space="preserve">Муниципальная программа Южского муниципального района "Экономическое развитие Южского муниципального района"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29.07.2016 № 69, от 28.10.2016 № 83)</t>
    </r>
  </si>
  <si>
    <r>
  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24.06.2016 № 64, от 29.07.2016 № 69, от 28.10.2016 № 83)</t>
    </r>
  </si>
  <si>
    <r>
      <t xml:space="preserve">Основное мероприятие "Управление и распоряжение имуществом"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24.06.2016 № 64, от 29.07.2016 № 69, от 28.10.2016 № 83)</t>
    </r>
  </si>
  <si>
    <r>
  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24.06.2016 № 64, от 28.10.2016 № 83)</t>
    </r>
  </si>
  <si>
    <r>
      <rPr>
        <sz val="14"/>
        <rFont val="Times New Roman"/>
        <family val="1"/>
      </rPr>
      <t>Оказание услуг по размещению информации в печатных изданиях, теле- и радиовещании, информационно телекоммуникационной сети "Интернет"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18.03.2016 № 28) (в редакции решения Совета Южского муниципального района от 28.10.2016 № 83)</t>
    </r>
  </si>
  <si>
    <r>
      <t xml:space="preserve"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18.03.2016 № 28) (в редакции решения Совета Южского муниципального района от 28.10.2016 № 83)</t>
    </r>
  </si>
  <si>
    <r>
      <t xml:space="preserve">Подпрограмма "Создание в Южском муниципальном районе многофункционального центра для оказания населению государственных и муниципальных услуг"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29.07.2016 № 69, от 28.10.2016 № 83)</t>
    </r>
  </si>
  <si>
    <r>
  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29.07.2016 № 69, от 28.10.2016 № 83)</t>
    </r>
  </si>
  <si>
    <r>
      <t>Обеспечение деятельности Муниципального бюджетного учреждения "Южский многофункциональный центр по предоставлению государственных и муниципальных услуг "Мои документы" (Предоставление субсидий бюджетным, автономным учреждениям и иным некоммерческим организациям)</t>
    </r>
    <r>
      <rPr>
        <i/>
        <sz val="10"/>
        <color indexed="56"/>
        <rFont val="Times New Roman"/>
        <family val="1"/>
      </rPr>
      <t xml:space="preserve"> (в редакции решений Совета Южского муниципального района от 29.07.2016 № 69, от 28.10.2016 № 83)</t>
    </r>
  </si>
  <si>
    <t>08 2 01 21720</t>
  </si>
  <si>
    <r>
      <t xml:space="preserve">Поставка транспортного средства на обеспечение деятельности Муниципального бюджетного учреждения "Южский многофункциональный центр по предоставлению государственных и муниципальных услуг "Мои документы""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28.10.2016 № 83)</t>
    </r>
    <r>
      <rPr>
        <sz val="14"/>
        <rFont val="Times New Roman"/>
        <family val="1"/>
      </rPr>
      <t xml:space="preserve">  </t>
    </r>
  </si>
  <si>
    <t>08 3 04 21410</t>
  </si>
  <si>
    <r>
      <t xml:space="preserve">Оплата задолженности по договору поставки № 407 от 02.10.2015 года, заключенному между Администрацией Южского муниципального района и ИП Лысогорской Ириной Анатольевной 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26.08.2016 № 72) (в редакции решения Совета Южского муниципального района от 30.09.2016 № 74, от 28.10.2016 № 83) </t>
    </r>
  </si>
  <si>
    <r>
      <t xml:space="preserve">Оплата задолженности по договору поставки № 408 от 02.11.2015 года, заключенному между Администрацией Южского муниципального района и ИП Лысогорской Ириной Анатольевной 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28.10.2016 № 83) </t>
    </r>
  </si>
  <si>
    <t>31 9 00 21400</t>
  </si>
  <si>
    <r>
  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26.08.2016 № 72, от 30.09.2016 № 74, от 28.10.2016 № 83, от 18.11.2016 № 87)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</si>
  <si>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18.11.2016 № 87)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</si>
  <si>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18.11.2016 № 87)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</si>
  <si>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 xml:space="preserve">(в редакции решения Совета Южского муниципального района от 18.11.2016 № 87) </t>
    </r>
  </si>
  <si>
    <r>
      <t xml:space="preserve">Основное мероприятие "Финансовое обеспечение предоставления мер социальной поддержки в сфере образования"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27.05.2016 № 49, от 18.11.2016 № 87)</t>
    </r>
  </si>
  <si>
    <t>01 1 03 80090</t>
  </si>
  <si>
    <r>
  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18.11.2016 № 87)</t>
    </r>
  </si>
  <si>
    <r>
  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 xml:space="preserve">(в редакции решения Совета Южского муниципального района от 18.11.2016 № 87) </t>
    </r>
  </si>
  <si>
    <r>
  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18.11.2016 № 87)</t>
    </r>
  </si>
  <si>
    <r>
  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26.08.2016 № 72, от 30.09.2016 № 74, от 18.11.2016 № 87)</t>
    </r>
    <r>
      <rPr>
        <sz val="14"/>
        <rFont val="Times New Roman"/>
        <family val="1"/>
      </rPr>
      <t xml:space="preserve"> </t>
    </r>
  </si>
  <si>
    <r>
      <t xml:space="preserve">Основное мероприятие "Финансовое обеспечение мер социальной поддержки в сфере образования"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26.08.2016 № 72, от 18.11.2016 № 87)</t>
    </r>
  </si>
  <si>
    <r>
      <t xml:space="preserve">Организация питания обучающихся 1-4 классов муниципальных образовательных организаций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18.11.2016 № 87)</t>
    </r>
  </si>
  <si>
    <r>
      <t xml:space="preserve">Организация питания обучающихся 1-4 классов муниципальных образовательных организаций Южского муниципального района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18.11.2016 № 87)</t>
    </r>
  </si>
  <si>
    <r>
      <t xml:space="preserve">Организация питания обучающихся 5-11 классов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18.11.2016 № 87)</t>
    </r>
  </si>
  <si>
    <r>
      <t xml:space="preserve">Организация питания обучающихся 1-4 классов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26.08.2016 № 72) (в редакции решения Совета Южского муниципального района от 18.11.2016 № 87)</t>
    </r>
  </si>
  <si>
    <r>
      <t xml:space="preserve">Подпрограмма "Повышение безопасности дорожного движения в Южском муниципальном районе"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29.07.2016 № 69, от 18.11.2016 № 87)</t>
    </r>
  </si>
  <si>
    <r>
      <t xml:space="preserve">Основное мероприятие "Обеспечение безопасности граждан"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29.07.2016 № 69, от 18.11.2016 № 87)</t>
    </r>
  </si>
  <si>
    <r>
  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аппаратурой спутниковой навигации ГЛОНАСС (Закупка товаров, работ и услуг для обеспечения государственных (муниципальных) нужд)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18.11.2016 № 87)</t>
    </r>
  </si>
  <si>
    <r>
      <t xml:space="preserve"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28.10.2016 № 83, от 18.11.2016 № 87)</t>
    </r>
  </si>
  <si>
    <r>
      <t>Подпрограмма ""Библиотека XXI века": Создание модельной библиотеки на базе сельских библиотечных отделов МКУК "Южская МЦБ""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18.11.2016 № 87) </t>
    </r>
  </si>
  <si>
    <r>
      <t xml:space="preserve">Основное мероприятие "Укрепление материально-технической базы библиотечных учреждений Южского района"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18.11.2016 № 87)</t>
    </r>
  </si>
  <si>
    <r>
      <t xml:space="preserve">Создание модельных библиотек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18.11.2016 № 87)</t>
    </r>
  </si>
  <si>
    <r>
      <t xml:space="preserve">Укрепление материально-технической базы муниципальных образовательных организаций Южского муниципального района в части реализации мероприятий по созданию в общеобразовательных организациях Южского муниципального района, расположенных в сельской местности, условий для занятий физической культурой и спортом в 2016 году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24.06.2016 № 64)  </t>
    </r>
  </si>
  <si>
    <t>(в редакции решений Совета Южского муниципального района от 05.02.2016 № 8, от  03.03.2016 № 16, от 18.03.2016 № 28, от 13.04.2016 № 34, от 27.04.2016 № 45, от 27.05.2016 № 49, от 24.06.2016 № 64, от 29.07.2016 № 69, от 26.08.2016 № 72, от 30.09.2016 № 74, от 28.10.2016 № 83, от 18.11.2016 № 87, от 13.12.2016 № 97)</t>
  </si>
  <si>
    <r>
      <t>Муниципальная программа Южского муниципального района "Развитие образования Южского муниципального района"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03.03.2016 № 16, от 18.03.2016 № 28, от 27.04.2016 № 45, от 27.05.2016 № 49, от 24.06.2016 № 64, от 29.07.2016 № 69, от 26.08.2016 № 72, от 30.09.2016 № 74, от 28.10.2016 № 83, от 18.11.2016 № 87, от 13.12.2016 № 97)</t>
    </r>
  </si>
  <si>
    <r>
  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  </r>
    <r>
      <rPr>
        <i/>
        <sz val="10"/>
        <color indexed="56"/>
        <rFont val="Times New Roman"/>
        <family val="1"/>
      </rPr>
      <t xml:space="preserve">(в редакции решений Совета Южского муниципального района от 05.02.2016 № 8, от 03.03.2016 № 16, от 18.03.2016 № 28, от 27.05.2016 № 49, от 26.08.2016 № 72, от 30.09.2016 № 74, от 28.10.2016 № 83, от 18.11.2016 № 87, от 13.12.2016 № 97) </t>
    </r>
  </si>
  <si>
    <r>
      <t xml:space="preserve">Основное мероприятие "Развитие дошкольного образования"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03.03.2016 № 16, от 18.03.2016 № 28, от 26.08.2016 № 72, от 30.09.2016 № 74, от 28.10.2016 № 83, от 18.11.2016 № 87, от 13.12.2016 № 97)</t>
    </r>
  </si>
  <si>
    <r>
  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26.08.2016 № 72, от 28.10.2016 № 83, от 18.11.2016 № 87, от 13.12.2016 № 97)</t>
    </r>
  </si>
  <si>
    <r>
  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  </r>
    <r>
      <rPr>
        <i/>
        <sz val="10"/>
        <color indexed="56"/>
        <rFont val="Times New Roman"/>
        <family val="1"/>
      </rPr>
      <t xml:space="preserve"> (в редакции решения Совета Южского муниципального района от 13.12.2016 № 97)</t>
    </r>
  </si>
  <si>
    <r>
  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18.03.2016 № 28, от 27.04.2016 № 45, от 27.05.2016 № 49, от 24.06.2016 № 64, от 29.07.2016 № 69, от 26.08.2016 № 72, от 30.09.2016 № 74, от 28.10.2016 № 83, от 18.11.2016 № 87, от 13.12.2016 № 97)</t>
    </r>
  </si>
  <si>
    <r>
      <t xml:space="preserve">Основное мероприятие "Реализация программ общего образования"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18.03.2016 № 28, от 27.04.2016 № 45, от 27.05.2016 № 49, от 24.06.2016 № 64, от 29.07.2016 № 69, от 26.08.2016 № 72, от 30.09.2016 № 74, от 18.11.2016 № 87, от 13.12.2016 № 97)</t>
    </r>
  </si>
  <si>
    <r>
  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18.03.2016 № 28, от 27.04.2016 № 45, от 24.06.2016 № 64, от 29.07.2016 № 69, от 26.08.2016 № 72, от 28.10.2016 № 83, от 18.11.2016 № 87, от 13.12.2016 № 97)</t>
    </r>
  </si>
  <si>
    <r>
  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18.11.2016 № 87, от 13.12.2016 № 97)</t>
    </r>
  </si>
  <si>
    <r>
  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26.08.2016 № 72, от 28.10.2016 № 83, от 18.11.2016 № 87, от 13.12.2016 № 97)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</si>
  <si>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13.12.2016 № 97)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</si>
  <si>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27.05.2016 № 49, от 30.09.2016 № 74, от 13.12.2016 № 97)</t>
    </r>
  </si>
  <si>
    <r>
      <t xml:space="preserve">Подпрограмма "Организация предоставления дополнительного образования детям"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28.10.2016 № 83, от 13.12.2016 № 97)</t>
    </r>
  </si>
  <si>
    <r>
      <t xml:space="preserve">Основное мероприятие "Реализация программ дополнительного образования детей"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28.10.2016 № 83, от 13.12.2016 № 97)</t>
    </r>
  </si>
  <si>
    <t>01 3 01 S1420</t>
  </si>
  <si>
    <t>01 3 01 81420</t>
  </si>
  <si>
    <r>
      <t xml:space="preserve">Средства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13.12.2016 № 97)</t>
    </r>
  </si>
  <si>
    <r>
  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13.12.2016 № 97) </t>
    </r>
  </si>
  <si>
    <r>
  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18.03.2016 № 28, от 13.12.2016 № 97)</t>
    </r>
  </si>
  <si>
    <r>
  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18.03.2016 № 28, от 13.12.2016 № 97)</t>
    </r>
  </si>
  <si>
    <r>
  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18.03.2016 № 28,  от 26.08.2016 № 72, от 28.10.2016 № 83, от 13.12.2016 № 97)</t>
    </r>
  </si>
  <si>
    <r>
      <t xml:space="preserve">Муниципальная программа Южского муниципального района "Развитие инфраструктуры и обеспечение жильем населения Южского муниципального района"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03.03.2016 № 16, от 13.04.2016 № 34, от 27.05.2016 № 49, от 24.06.2016 № 64, от 29.07.2016 № 69, от 28.10.2016 № 83, от 18.11.2016 № 87, от 13.12.2016 № 97)</t>
    </r>
  </si>
  <si>
    <r>
      <t xml:space="preserve">Подпрограмма "Развитие автомобильных дорог Южского муниципального района"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29.07.2016 № 69, от 28.10.2016 № 83, от 13.12.2016 № 97)</t>
    </r>
  </si>
  <si>
    <r>
      <t xml:space="preserve">Основное мероприятие "Капитальный ремонт, ремонт и содержание автомобильных дорог общего пользования Южского муниципального района муниципального значения"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29.07.2016 № 69, от 28.10.2016 № 83, от 13.12.2016 № 97)</t>
    </r>
  </si>
  <si>
    <r>
      <t xml:space="preserve">Ремонт дорог общего пользования местного значения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29.07.2016 № 69, от 28.10.2016 № 83, от 13.12.2016 № 97)</t>
    </r>
  </si>
  <si>
    <r>
      <t>Подпрограмма "Обеспечение финансирования непредвиденных расходов бюджета Южского муниципального района"</t>
    </r>
    <r>
      <rPr>
        <i/>
        <sz val="10"/>
        <color indexed="56"/>
        <rFont val="Times New Roman"/>
        <family val="1"/>
      </rPr>
      <t xml:space="preserve"> (в редакции Решений Совета Южского муниципального района от 05.02.2016 № 8, от 03.03.2016 № 16, от 27.05.2016 № 49, от 24.06.2016 № 64, от 29.07.2016 № 69, от 13.12.2016 № 97)</t>
    </r>
  </si>
  <si>
    <r>
      <t xml:space="preserve">Основное мероприятие "Управление резервными средствами Южского муниципального района"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03.03.2016 № 16, от 27.05.2016 № 49, от 24.06.2016 № 64, от 29.07.2016 № 69, от 13.12.2016 № 97)</t>
    </r>
  </si>
  <si>
    <r>
      <t xml:space="preserve">Резервный фонд администрации Южского муниципального района (Иные бюджетные ассигнования)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03.03.2016 № 16, от 27.05.2016 № 49, от 24.06.2016 № 64, от 29.07.2016 № 69, от 13.12.2016 № 97)</t>
    </r>
  </si>
  <si>
    <r>
      <t xml:space="preserve">Муниципальная программа Южского муниципального района "Развитие культуры Южского муниципального района"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89, от 28.10.2016 № 83, от 13.12.2016 № 97)</t>
    </r>
  </si>
  <si>
    <r>
      <t xml:space="preserve">Подпрограмма "Развитие библиотечного дела в Южском муниципальном районе"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03.03.2016 № 16, от 28.10.2016 № 83, от 18.11.2016 № 87, от 13.12.2016 № 97)</t>
    </r>
  </si>
  <si>
    <r>
      <t xml:space="preserve">Основное мероприятие "Развитие библиотечного дела"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28.10.2016 № 83, от 18.11.2016 № 87, от 13.12.2016 № 97)</t>
    </r>
  </si>
  <si>
    <r>
      <t xml:space="preserve"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13.12.2016 № 97)</t>
    </r>
  </si>
  <si>
    <r>
      <t xml:space="preserve">Муниципальная программа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18.03.2016 № 28, от 24.06.2016 № 64, от 28.10.2016 № 83, от 18.11.2016 № 87, от 13.12.2016 № 97)</t>
    </r>
  </si>
  <si>
    <r>
      <t xml:space="preserve">Подпрограмма "Организация и проведение мероприятий по работе с детьми и молодёжью"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24.06.2016 № 64, от 28.10.2016 № 83, от 13.12.2016 № 97)</t>
    </r>
  </si>
  <si>
    <r>
      <t xml:space="preserve">Основное мероприятие "Организация и проведение мероприятий с детьми и молодежью"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24.06.2016 № 64, от 28.10.2016 № 83, от 13.12.2016 № 97)</t>
    </r>
  </si>
  <si>
    <r>
      <t xml:space="preserve">Организация и проведение мероприятий по работе с детьми и молодёжью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24.06.2016 № 64, от 13.12.2016 № 97)</t>
    </r>
  </si>
  <si>
    <r>
      <t xml:space="preserve">Подпрограмма "Развитие физической культуры и спорта в Южском муниципальном районе"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18.03.2016 № 28, от 18.11.2016 № 87, от 13.12.2016 № 97)</t>
    </r>
  </si>
  <si>
    <r>
      <t xml:space="preserve">Основное мероприятие "Проведение физкультурных мероприятий и массовых спортивных мероприятий"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18.03.2016 № 28, от 18.11.2016 № 87, от 13.12.2016 № 97)</t>
    </r>
  </si>
  <si>
    <r>
  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18.03.2016 № 28, от 13.04.2016 № 34, от 18.11.2016 № 87, от 13.12.2016 № 97)</t>
    </r>
  </si>
  <si>
    <r>
      <t xml:space="preserve">Муниципальная программа Южского муниципального района "Совершенствование институтов местного самоуправления Южского муниципального района"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18.03.2016 № 28, от 24.06.2016 № 64, от 29.07.2016 № 69, от 30.09.2016 № 74, от 28.10.2016 № 83, от 18.11.2016 № 87, от 13.12.2016 № 97)</t>
    </r>
  </si>
  <si>
    <r>
      <t xml:space="preserve">Подпрограмма "Обеспечение деятельности Администрации Южского муниципального района и развитие муниципальной службы в Южском муниципальном районе"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18.03.2016 № 28, от 13.04.2016 № 34, от 30.09.2016 № 74, от 28.10.2016 № 83, от 18.11.2016 № 87, от 13.12.2016 № 97)</t>
    </r>
  </si>
  <si>
    <r>
  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18.03.2016 № 28, от 13.04.2016 № 34, от 30.09.2016 № 74, от 28.10.2016 № 83, от 18.11.2016 № 87, от 13.12.2016 № 97)</t>
    </r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</si>
  <si>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18.03.2016 № 28, от 13.04.2016 № 34, от 24.06.2016 № 64, от 29.07.2016 № 69,  от 26.08.2016 № 72, от 30.09.2016 № 74, от 28.10.2016 № 83, от 18.11.2016 № 87, от 13.12.2016 № 97)</t>
    </r>
    <r>
      <rPr>
        <sz val="14"/>
        <rFont val="Times New Roman"/>
        <family val="1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</si>
  <si>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56"/>
        <rFont val="Times New Roman"/>
        <family val="1"/>
      </rPr>
      <t xml:space="preserve"> (в редакции решений Совета Южского муниципального района от 05.02.2016 № 8, от 18.03.2016 № 28, от 29.07.2016 № 69,  от 26.08.2016 № 72, от 30.09.2016 № 74, от 28.10.2016 № 83, от 18.11.2016 № 87, от 13.12.2016 № 97)</t>
    </r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</si>
  <si>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18.03.2016 № 28, от 24.06.2016 № 64, от 18.11.2016 № 87, от 13.12.2016 № 97)</t>
    </r>
    <r>
      <rPr>
        <sz val="14"/>
        <rFont val="Times New Roman"/>
        <family val="1"/>
      </rPr>
      <t xml:space="preserve"> </t>
    </r>
  </si>
  <si>
    <r>
      <t xml:space="preserve">Основное мероприятие "Обеспечение доступа к информации о деятельности органов местного самоуправления"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18.03.2016 № 28, от 28.10.2016 № 83, от 18.11.2016 № 87, от 13.12.2016 № 97)</t>
    </r>
  </si>
  <si>
    <r>
      <t xml:space="preserve">Размещение официальной информации органов местного самоуправления Южского муниципального района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28.10.2016 № 83, от 18.11.2016 № 87, от 13.12.2016 № 97)</t>
    </r>
  </si>
  <si>
    <r>
      <t xml:space="preserve">Подпрограмма "Укрепление материально-технической базы органов местного самоуправления Южского муниципального района"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18.03.2016 № 28, от 13.04.2016 № 34, от 24.06.2016 № 64, от 28.10.2016 № 83, от 13.12.2016 № 97)</t>
    </r>
  </si>
  <si>
    <r>
      <t xml:space="preserve">Основное мероприятие "Переоснащение технического оборудования и программного обеспечения в органах местного самоуправления" </t>
    </r>
    <r>
      <rPr>
        <i/>
        <sz val="10"/>
        <color indexed="56"/>
        <rFont val="Times New Roman"/>
        <family val="1"/>
      </rPr>
      <t>(в редакции решений Совета Южского мцниципального района от 05.02.2016 № 8, от 18.03.2016 № 28, от 24.06.2016 № 64, от 28.10.2016 № 83, от 13.12.2016 № 97)</t>
    </r>
  </si>
  <si>
    <r>
      <t xml:space="preserve">Приобретение программного обеспечения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мцниципального района от 05.02.2016 № 8, от 18.03.2016 № 28, от 24.06.2016 № 64, от 28.10.2016 № 83, от 13.12.2016 № 97)</t>
    </r>
  </si>
  <si>
    <r>
      <t xml:space="preserve">Приобретение оборудования IP телефонии 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(добавлена строва в соответствии с решением Совета Южского муниципального района от 28.10.2016 № 83) (в редакции решения Совета Южского муниципального района от 13.12.2016 № 97)</t>
    </r>
    <r>
      <rPr>
        <sz val="14"/>
        <rFont val="Times New Roman"/>
        <family val="1"/>
      </rPr>
      <t xml:space="preserve"> </t>
    </r>
  </si>
  <si>
    <r>
      <t xml:space="preserve">Муниципальная программа Южского муниципального района "Профилактика правонарушений в Южском муниципальном районе"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13.12.2016 № 97)</t>
    </r>
  </si>
  <si>
    <r>
      <t xml:space="preserve">Подпрограмма "Профилактика правонарушений и преступлений в Южском муниципальном районе"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13.12.2016 № 97)</t>
    </r>
  </si>
  <si>
    <r>
      <t xml:space="preserve">Основное мероприятие "Обеспечение общественного порядка" </t>
    </r>
    <r>
      <rPr>
        <i/>
        <sz val="10"/>
        <color indexed="56"/>
        <rFont val="Times New Roman"/>
        <family val="1"/>
      </rPr>
      <t>(в редакции решения Совета Южского муниципального района от 13.12.2016 № 97)</t>
    </r>
  </si>
  <si>
    <r>
      <t xml:space="preserve"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(Закупка товаров, работ и услуг для обеспечения государственных (муниципальных) нужд)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 от 26.08.2016 № 72, от 13.12.2016 № 97)</t>
    </r>
  </si>
  <si>
    <r>
  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05.02.2016 № 8, от 03.03.2016 № 16, от 18.03.2016 № 28, от 13.04.2016 № 34, от 27.04.2016 № 45, от 27.05.2016 № 49, от 24.06.2016 № 64, от 29.07.2016 № 69,  от 26.08.2016 № 72, от 30.09.2016 № 74, от 28.10.2016 № 83, от 18.11.2016 № 87, от 13.12.2016 № 97)</t>
    </r>
  </si>
  <si>
    <r>
      <t xml:space="preserve">Содержание и обслуживание казны (Иные бюджетные ассигнования) </t>
    </r>
    <r>
      <rPr>
        <i/>
        <sz val="10"/>
        <color indexed="56"/>
        <rFont val="Times New Roman"/>
        <family val="1"/>
      </rPr>
      <t>(в редакции решений Совета Южского муниципального района от 24.06.2016 № 64, от 13.12.2016 № 97)</t>
    </r>
  </si>
  <si>
    <r>
      <t xml:space="preserve">Содержание и обслуживание казны (Закупка товаров, работ и услуг для обеспечения государственных (муниципальных) нужд)  </t>
    </r>
    <r>
      <rPr>
        <i/>
        <sz val="10"/>
        <color indexed="56"/>
        <rFont val="Times New Roman"/>
        <family val="1"/>
      </rPr>
      <t xml:space="preserve">(в редакции решений Совета Южского муниципального района от 27.05.2016 № 49, от 24.06.2016 № 64, от 29.07.2016 № 69, от 28.10.2016 № 83, от 13.12.2016 № 97) </t>
    </r>
  </si>
  <si>
    <r>
      <t xml:space="preserve">Выплата выходного пособия за второй и третий месяцы, уволенным по сокращению в связи с ликвидацией администрации Южского городского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05.02.2016 № 8) (в редакции решений Совета Южского муниципального района от 24.06.2016 № 64, от 30.09.2016 № 74, от 18.11.2016 № 87, от 13.12.2016 № 97)</t>
    </r>
    <r>
      <rPr>
        <sz val="14"/>
        <rFont val="Times New Roman"/>
        <family val="1"/>
      </rPr>
      <t xml:space="preserve"> </t>
    </r>
  </si>
  <si>
    <t>31 9 00 20970</t>
  </si>
  <si>
    <t>31 9 00 20980</t>
  </si>
  <si>
    <r>
  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  </r>
    <r>
      <rPr>
        <i/>
        <sz val="10"/>
        <color indexed="56"/>
        <rFont val="Times New Roman"/>
        <family val="1"/>
      </rPr>
      <t xml:space="preserve">(добавлена строка в соответствии с решением Совета Южского муниципального района от 13.12.2016 № 97) </t>
    </r>
  </si>
  <si>
    <r>
  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  </r>
    <r>
      <rPr>
        <i/>
        <sz val="10"/>
        <color indexed="56"/>
        <rFont val="Times New Roman"/>
        <family val="1"/>
      </rPr>
      <t xml:space="preserve"> (добавлена строка в соответствии с решением Совета Южского муниципального района от 13.12.2016 № 97) </t>
    </r>
  </si>
  <si>
    <r>
      <t>Проведение неотложных аварийно-восстановительных работ по ликвидации последствий чрезвычайной ситуации, связанной с разрушением сооружения дорожного транспорта (моста) через р. Теза у д. Емельяново Южского муниципального района (Закупка товаров, работ и услуг для обеспечения государственных (муниципальных) нужд)</t>
    </r>
    <r>
      <rPr>
        <i/>
        <sz val="10"/>
        <color indexed="56"/>
        <rFont val="Times New Roman"/>
        <family val="1"/>
      </rPr>
      <t xml:space="preserve"> (добавлена строка в соответствии с решением Совета Южского муниципального района от 29.07.2016 № 69) (в редакции решений Совета Южского муниципального района от 26.08.2016 № 72, от 30.09.2016 № 74, от 28.10.2016 № 83, от 13.12.2016 № 97) </t>
    </r>
  </si>
  <si>
    <t>31 9 00 21830</t>
  </si>
  <si>
    <r>
      <t xml:space="preserve">Возмещение расходов, понесенных Департаментом дорожного хозяйства и транспорта Ивановской области, связанных с эксплуатацией и содержанием имущества Ивановской области, переданных по договору безвозмездного пользования имуществом Ивановской области № 11-11/89 от 01.11.2016г. (Иные бюджетные ассигнования) </t>
    </r>
    <r>
      <rPr>
        <i/>
        <sz val="10"/>
        <color indexed="56"/>
        <rFont val="Times New Roman"/>
        <family val="1"/>
      </rPr>
      <t>(добавлена строка в соответствии с решением Совета Южского муниципального района от 13.12.2016 № 97)</t>
    </r>
  </si>
  <si>
    <r>
  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  </r>
    <r>
      <rPr>
        <i/>
        <sz val="10"/>
        <color indexed="56"/>
        <rFont val="Times New Roman"/>
        <family val="1"/>
      </rPr>
      <t xml:space="preserve">(в редакции решений Совета Южского муниципального района от 05.02.2016 № 8, от 30.09.2016 № 74, от 13.12.2016 № 97) </t>
    </r>
    <r>
      <rPr>
        <sz val="14"/>
        <rFont val="Times New Roman"/>
        <family val="1"/>
      </rPr>
      <t xml:space="preserve"> </t>
    </r>
  </si>
  <si>
    <r>
      <t xml:space="preserve">Всего: </t>
    </r>
    <r>
      <rPr>
        <i/>
        <sz val="10"/>
        <color indexed="56"/>
        <rFont val="Times New Roman"/>
        <family val="1"/>
      </rPr>
      <t xml:space="preserve"> (в редакции решений Совета Южского муниципального района от 05.02.2016 № 8, от 03.03.2016 № 16, от 13.04.2016 № 34, от 27.04.2016 № 45, от 27.05.2016 № 49, от 24.06.2016 № 64, от 29.07.2016 № 69, от 26.08.2016 № 72, от 30.09.2016 № 74, от 28.10.2016 № 83, от 18.11.2016 № 87, от 13.12.2016 № 97)</t>
    </r>
    <r>
      <rPr>
        <b/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</si>
</sst>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56"/>
      <name val="Times New Roman"/>
      <family val="1"/>
    </font>
    <font>
      <i/>
      <sz val="10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2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justify" vertical="top"/>
    </xf>
    <xf numFmtId="4" fontId="3" fillId="33" borderId="10" xfId="0" applyNumberFormat="1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/>
    </xf>
    <xf numFmtId="0" fontId="43" fillId="0" borderId="0" xfId="0" applyFont="1" applyAlignment="1">
      <alignment horizontal="justify" vertical="top" wrapText="1"/>
    </xf>
    <xf numFmtId="2" fontId="43" fillId="33" borderId="10" xfId="0" applyNumberFormat="1" applyFont="1" applyFill="1" applyBorder="1" applyAlignment="1">
      <alignment horizontal="justify" vertical="top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44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5"/>
  <sheetViews>
    <sheetView tabSelected="1" zoomScale="90" zoomScaleNormal="90" zoomScalePageLayoutView="0" workbookViewId="0" topLeftCell="A1">
      <selection activeCell="B345" sqref="B345"/>
    </sheetView>
  </sheetViews>
  <sheetFormatPr defaultColWidth="9.140625" defaultRowHeight="15"/>
  <cols>
    <col min="1" max="1" width="62.57421875" style="1" customWidth="1"/>
    <col min="2" max="2" width="18.7109375" style="1" customWidth="1"/>
    <col min="3" max="3" width="8.8515625" style="2" customWidth="1"/>
    <col min="4" max="4" width="20.8515625" style="3" customWidth="1"/>
    <col min="5" max="5" width="9.140625" style="1" customWidth="1"/>
    <col min="6" max="6" width="23.421875" style="18" customWidth="1"/>
    <col min="7" max="16384" width="9.140625" style="1" customWidth="1"/>
  </cols>
  <sheetData>
    <row r="1" spans="2:4" ht="18" customHeight="1">
      <c r="B1" s="53" t="s">
        <v>254</v>
      </c>
      <c r="C1" s="53"/>
      <c r="D1" s="53"/>
    </row>
    <row r="2" spans="2:4" ht="18.75">
      <c r="B2" s="53" t="s">
        <v>255</v>
      </c>
      <c r="C2" s="53"/>
      <c r="D2" s="53"/>
    </row>
    <row r="3" spans="2:4" ht="18.75">
      <c r="B3" s="53" t="s">
        <v>256</v>
      </c>
      <c r="C3" s="53"/>
      <c r="D3" s="53"/>
    </row>
    <row r="4" spans="2:4" ht="18.75">
      <c r="B4" s="54" t="s">
        <v>257</v>
      </c>
      <c r="C4" s="54"/>
      <c r="D4" s="54"/>
    </row>
    <row r="5" spans="2:4" ht="18.75">
      <c r="B5" s="54" t="s">
        <v>258</v>
      </c>
      <c r="C5" s="54"/>
      <c r="D5" s="54"/>
    </row>
    <row r="6" spans="2:4" ht="18.75">
      <c r="B6" s="33"/>
      <c r="C6" s="33"/>
      <c r="D6" s="33" t="s">
        <v>259</v>
      </c>
    </row>
    <row r="7" spans="2:4" ht="18.75">
      <c r="B7" s="54" t="s">
        <v>344</v>
      </c>
      <c r="C7" s="54"/>
      <c r="D7" s="54"/>
    </row>
    <row r="8" spans="3:4" ht="14.25" customHeight="1">
      <c r="C8" s="53"/>
      <c r="D8" s="53"/>
    </row>
    <row r="9" spans="1:4" ht="135.75" customHeight="1">
      <c r="A9" s="59" t="s">
        <v>310</v>
      </c>
      <c r="B9" s="59"/>
      <c r="C9" s="59"/>
      <c r="D9" s="59"/>
    </row>
    <row r="10" spans="1:4" ht="45" customHeight="1">
      <c r="A10" s="58" t="s">
        <v>547</v>
      </c>
      <c r="B10" s="58"/>
      <c r="C10" s="58"/>
      <c r="D10" s="58"/>
    </row>
    <row r="11" spans="1:4" ht="56.25" customHeight="1">
      <c r="A11" s="37" t="s">
        <v>250</v>
      </c>
      <c r="B11" s="37" t="s">
        <v>251</v>
      </c>
      <c r="C11" s="38" t="s">
        <v>252</v>
      </c>
      <c r="D11" s="39" t="s">
        <v>253</v>
      </c>
    </row>
    <row r="12" spans="1:4" ht="16.5" customHeight="1">
      <c r="A12" s="40">
        <v>1</v>
      </c>
      <c r="B12" s="40">
        <v>2</v>
      </c>
      <c r="C12" s="40">
        <v>3</v>
      </c>
      <c r="D12" s="40">
        <v>4</v>
      </c>
    </row>
    <row r="13" spans="1:6" s="8" customFormat="1" ht="126" customHeight="1">
      <c r="A13" s="41" t="s">
        <v>548</v>
      </c>
      <c r="B13" s="42" t="s">
        <v>0</v>
      </c>
      <c r="C13" s="42"/>
      <c r="D13" s="43">
        <f>D14+D34+D54+D60+D68+D74+D78+D82</f>
        <v>180229142.30999997</v>
      </c>
      <c r="F13" s="19"/>
    </row>
    <row r="14" spans="1:6" s="8" customFormat="1" ht="135.75" customHeight="1">
      <c r="A14" s="41" t="s">
        <v>549</v>
      </c>
      <c r="B14" s="42" t="s">
        <v>1</v>
      </c>
      <c r="C14" s="42"/>
      <c r="D14" s="43">
        <f>D15+D24+D27</f>
        <v>65606368.5</v>
      </c>
      <c r="F14" s="19"/>
    </row>
    <row r="15" spans="1:6" s="4" customFormat="1" ht="75.75">
      <c r="A15" s="44" t="s">
        <v>550</v>
      </c>
      <c r="B15" s="45" t="s">
        <v>2</v>
      </c>
      <c r="C15" s="45"/>
      <c r="D15" s="46">
        <f>SUM(D16:D23)</f>
        <v>62196307.25</v>
      </c>
      <c r="F15" s="20"/>
    </row>
    <row r="16" spans="1:4" ht="186.75" customHeight="1">
      <c r="A16" s="34" t="s">
        <v>524</v>
      </c>
      <c r="B16" s="16" t="s">
        <v>3</v>
      </c>
      <c r="C16" s="16">
        <v>100</v>
      </c>
      <c r="D16" s="35">
        <f>3237320+2552580-35680-203100+143400-81991.34</f>
        <v>5612528.66</v>
      </c>
    </row>
    <row r="17" spans="1:4" ht="151.5" customHeight="1">
      <c r="A17" s="25" t="s">
        <v>551</v>
      </c>
      <c r="B17" s="16" t="s">
        <v>3</v>
      </c>
      <c r="C17" s="16">
        <v>200</v>
      </c>
      <c r="D17" s="35">
        <f>3896000+679000-350000-50400+45000-45987.41-299765</f>
        <v>3873847.59</v>
      </c>
    </row>
    <row r="18" spans="1:4" ht="149.25" customHeight="1">
      <c r="A18" s="34" t="s">
        <v>496</v>
      </c>
      <c r="B18" s="16" t="s">
        <v>3</v>
      </c>
      <c r="C18" s="16">
        <v>600</v>
      </c>
      <c r="D18" s="35">
        <f>28739000+5284.43-5284.43+1087600</f>
        <v>29826600</v>
      </c>
    </row>
    <row r="19" spans="1:4" ht="120" customHeight="1">
      <c r="A19" s="34" t="s">
        <v>552</v>
      </c>
      <c r="B19" s="16" t="s">
        <v>3</v>
      </c>
      <c r="C19" s="16">
        <v>800</v>
      </c>
      <c r="D19" s="35">
        <f>93000-50235</f>
        <v>42765</v>
      </c>
    </row>
    <row r="20" spans="1:4" ht="111.75" customHeight="1">
      <c r="A20" s="34" t="s">
        <v>386</v>
      </c>
      <c r="B20" s="16" t="s">
        <v>4</v>
      </c>
      <c r="C20" s="16">
        <v>600</v>
      </c>
      <c r="D20" s="35">
        <f>50000-20000</f>
        <v>30000</v>
      </c>
    </row>
    <row r="21" spans="1:4" ht="329.25" customHeight="1">
      <c r="A21" s="34" t="s">
        <v>525</v>
      </c>
      <c r="B21" s="16" t="s">
        <v>5</v>
      </c>
      <c r="C21" s="16">
        <v>100</v>
      </c>
      <c r="D21" s="35">
        <f>2927971-291395</f>
        <v>2636576</v>
      </c>
    </row>
    <row r="22" spans="1:4" ht="270.75" customHeight="1">
      <c r="A22" s="34" t="s">
        <v>526</v>
      </c>
      <c r="B22" s="16" t="s">
        <v>5</v>
      </c>
      <c r="C22" s="16">
        <v>200</v>
      </c>
      <c r="D22" s="35">
        <f>20955-2145</f>
        <v>18810</v>
      </c>
    </row>
    <row r="23" spans="1:4" ht="281.25" customHeight="1">
      <c r="A23" s="34" t="s">
        <v>527</v>
      </c>
      <c r="B23" s="16" t="s">
        <v>5</v>
      </c>
      <c r="C23" s="16">
        <v>600</v>
      </c>
      <c r="D23" s="35">
        <f>20664505-509325</f>
        <v>20155180</v>
      </c>
    </row>
    <row r="24" spans="1:6" s="4" customFormat="1" ht="37.5">
      <c r="A24" s="44" t="s">
        <v>6</v>
      </c>
      <c r="B24" s="45" t="s">
        <v>332</v>
      </c>
      <c r="C24" s="45"/>
      <c r="D24" s="46">
        <f>SUM(D25:D26)</f>
        <v>572500</v>
      </c>
      <c r="F24" s="20"/>
    </row>
    <row r="25" spans="1:4" ht="98.25" customHeight="1">
      <c r="A25" s="34" t="s">
        <v>312</v>
      </c>
      <c r="B25" s="16" t="s">
        <v>7</v>
      </c>
      <c r="C25" s="16">
        <v>200</v>
      </c>
      <c r="D25" s="35">
        <f>147500</f>
        <v>147500</v>
      </c>
    </row>
    <row r="26" spans="1:4" ht="98.25" customHeight="1">
      <c r="A26" s="34" t="s">
        <v>273</v>
      </c>
      <c r="B26" s="16" t="s">
        <v>7</v>
      </c>
      <c r="C26" s="16">
        <v>600</v>
      </c>
      <c r="D26" s="35">
        <f>425000</f>
        <v>425000</v>
      </c>
    </row>
    <row r="27" spans="1:6" s="4" customFormat="1" ht="73.5" customHeight="1">
      <c r="A27" s="44" t="s">
        <v>528</v>
      </c>
      <c r="B27" s="45" t="s">
        <v>8</v>
      </c>
      <c r="C27" s="45"/>
      <c r="D27" s="46">
        <f>SUM(D28:D33)</f>
        <v>2837561.25</v>
      </c>
      <c r="F27" s="20"/>
    </row>
    <row r="28" spans="1:6" s="4" customFormat="1" ht="186.75" customHeight="1">
      <c r="A28" s="51" t="s">
        <v>530</v>
      </c>
      <c r="B28" s="16" t="s">
        <v>529</v>
      </c>
      <c r="C28" s="16">
        <v>200</v>
      </c>
      <c r="D28" s="35">
        <v>32753</v>
      </c>
      <c r="F28" s="20"/>
    </row>
    <row r="29" spans="1:4" ht="235.5" customHeight="1">
      <c r="A29" s="34" t="s">
        <v>531</v>
      </c>
      <c r="B29" s="16" t="s">
        <v>9</v>
      </c>
      <c r="C29" s="16">
        <v>200</v>
      </c>
      <c r="D29" s="35">
        <f>155540-76784</f>
        <v>78756</v>
      </c>
    </row>
    <row r="30" spans="1:4" ht="248.25" customHeight="1">
      <c r="A30" s="34" t="s">
        <v>532</v>
      </c>
      <c r="B30" s="16" t="s">
        <v>9</v>
      </c>
      <c r="C30" s="16">
        <v>600</v>
      </c>
      <c r="D30" s="35">
        <f>1080892-154554</f>
        <v>926338</v>
      </c>
    </row>
    <row r="31" spans="1:4" ht="186.75" customHeight="1">
      <c r="A31" s="34" t="s">
        <v>380</v>
      </c>
      <c r="B31" s="16" t="s">
        <v>10</v>
      </c>
      <c r="C31" s="16">
        <v>200</v>
      </c>
      <c r="D31" s="35">
        <f>649961-649961</f>
        <v>0</v>
      </c>
    </row>
    <row r="32" spans="1:4" ht="201.75" customHeight="1">
      <c r="A32" s="34" t="s">
        <v>429</v>
      </c>
      <c r="B32" s="16" t="s">
        <v>10</v>
      </c>
      <c r="C32" s="16">
        <v>300</v>
      </c>
      <c r="D32" s="35">
        <f>2180627.27-861006.75</f>
        <v>1319620.52</v>
      </c>
    </row>
    <row r="33" spans="1:4" ht="194.25" customHeight="1">
      <c r="A33" s="34" t="s">
        <v>381</v>
      </c>
      <c r="B33" s="16" t="s">
        <v>10</v>
      </c>
      <c r="C33" s="16">
        <v>600</v>
      </c>
      <c r="D33" s="35">
        <f>2010760-1530666.27</f>
        <v>480093.73</v>
      </c>
    </row>
    <row r="34" spans="1:6" s="8" customFormat="1" ht="151.5" customHeight="1">
      <c r="A34" s="41" t="s">
        <v>553</v>
      </c>
      <c r="B34" s="42" t="s">
        <v>11</v>
      </c>
      <c r="C34" s="42"/>
      <c r="D34" s="43">
        <f>D35+D43+D47</f>
        <v>97690484.13999999</v>
      </c>
      <c r="F34" s="19"/>
    </row>
    <row r="35" spans="1:6" s="4" customFormat="1" ht="88.5">
      <c r="A35" s="44" t="s">
        <v>554</v>
      </c>
      <c r="B35" s="45" t="s">
        <v>12</v>
      </c>
      <c r="C35" s="45"/>
      <c r="D35" s="46">
        <f>SUM(D36:D42)</f>
        <v>93215377.78999999</v>
      </c>
      <c r="F35" s="20"/>
    </row>
    <row r="36" spans="1:4" ht="205.5" customHeight="1">
      <c r="A36" s="34" t="s">
        <v>533</v>
      </c>
      <c r="B36" s="16" t="s">
        <v>13</v>
      </c>
      <c r="C36" s="16">
        <v>100</v>
      </c>
      <c r="D36" s="35">
        <f>2880900-98280+203100-159429.19</f>
        <v>2826290.81</v>
      </c>
    </row>
    <row r="37" spans="1:4" ht="174" customHeight="1">
      <c r="A37" s="34" t="s">
        <v>555</v>
      </c>
      <c r="B37" s="16" t="s">
        <v>13</v>
      </c>
      <c r="C37" s="16">
        <v>200</v>
      </c>
      <c r="D37" s="35">
        <f>9800200-100000-11400-85597-171585-628170.6-400+42936.76+184804.21</f>
        <v>9030788.370000001</v>
      </c>
    </row>
    <row r="38" spans="1:4" ht="168" customHeight="1">
      <c r="A38" s="34" t="s">
        <v>556</v>
      </c>
      <c r="B38" s="16" t="s">
        <v>13</v>
      </c>
      <c r="C38" s="16">
        <v>600</v>
      </c>
      <c r="D38" s="35">
        <f>6783580+70000-35000</f>
        <v>6818580</v>
      </c>
    </row>
    <row r="39" spans="1:4" ht="149.25" customHeight="1">
      <c r="A39" s="34" t="s">
        <v>557</v>
      </c>
      <c r="B39" s="16" t="s">
        <v>13</v>
      </c>
      <c r="C39" s="16">
        <v>800</v>
      </c>
      <c r="D39" s="35">
        <f>749500-120570+400-9393-184804.21</f>
        <v>435132.79000000004</v>
      </c>
    </row>
    <row r="40" spans="1:4" ht="325.5" customHeight="1">
      <c r="A40" s="34" t="s">
        <v>558</v>
      </c>
      <c r="B40" s="16" t="s">
        <v>14</v>
      </c>
      <c r="C40" s="16">
        <v>100</v>
      </c>
      <c r="D40" s="35">
        <f>39704839-1653063.96</f>
        <v>38051775.04</v>
      </c>
    </row>
    <row r="41" spans="1:4" ht="253.5" customHeight="1">
      <c r="A41" s="34" t="s">
        <v>333</v>
      </c>
      <c r="B41" s="16" t="s">
        <v>14</v>
      </c>
      <c r="C41" s="16">
        <v>200</v>
      </c>
      <c r="D41" s="35">
        <v>224529</v>
      </c>
    </row>
    <row r="42" spans="1:4" ht="280.5" customHeight="1">
      <c r="A42" s="34" t="s">
        <v>559</v>
      </c>
      <c r="B42" s="16" t="s">
        <v>14</v>
      </c>
      <c r="C42" s="16">
        <v>600</v>
      </c>
      <c r="D42" s="35">
        <f>37813512-647171+536584-1874643.22</f>
        <v>35828281.78</v>
      </c>
    </row>
    <row r="43" spans="1:6" s="4" customFormat="1" ht="57" customHeight="1">
      <c r="A43" s="44" t="s">
        <v>497</v>
      </c>
      <c r="B43" s="45" t="s">
        <v>15</v>
      </c>
      <c r="C43" s="45"/>
      <c r="D43" s="46">
        <f>SUM(D44:D46)</f>
        <v>2637600</v>
      </c>
      <c r="F43" s="20"/>
    </row>
    <row r="44" spans="1:4" ht="93.75" customHeight="1">
      <c r="A44" s="34" t="s">
        <v>498</v>
      </c>
      <c r="B44" s="16" t="s">
        <v>16</v>
      </c>
      <c r="C44" s="16">
        <v>600</v>
      </c>
      <c r="D44" s="35">
        <f>1578600+131500</f>
        <v>1710100</v>
      </c>
    </row>
    <row r="45" spans="1:4" ht="101.25" customHeight="1">
      <c r="A45" s="34" t="s">
        <v>313</v>
      </c>
      <c r="B45" s="16" t="s">
        <v>17</v>
      </c>
      <c r="C45" s="16">
        <v>200</v>
      </c>
      <c r="D45" s="35">
        <f>527500</f>
        <v>527500</v>
      </c>
    </row>
    <row r="46" spans="1:4" ht="101.25" customHeight="1">
      <c r="A46" s="34" t="s">
        <v>274</v>
      </c>
      <c r="B46" s="16" t="s">
        <v>17</v>
      </c>
      <c r="C46" s="16">
        <v>600</v>
      </c>
      <c r="D46" s="35">
        <f>400000</f>
        <v>400000</v>
      </c>
    </row>
    <row r="47" spans="1:6" s="4" customFormat="1" ht="68.25" customHeight="1">
      <c r="A47" s="44" t="s">
        <v>534</v>
      </c>
      <c r="B47" s="45" t="s">
        <v>18</v>
      </c>
      <c r="C47" s="45"/>
      <c r="D47" s="46">
        <f>SUM(D48:D53)</f>
        <v>1837506.3499999999</v>
      </c>
      <c r="F47" s="20"/>
    </row>
    <row r="48" spans="1:4" ht="116.25" customHeight="1">
      <c r="A48" s="34" t="s">
        <v>535</v>
      </c>
      <c r="B48" s="16" t="s">
        <v>267</v>
      </c>
      <c r="C48" s="16">
        <v>200</v>
      </c>
      <c r="D48" s="35">
        <f>8100+253918.4+82703+54691.61</f>
        <v>399413.01</v>
      </c>
    </row>
    <row r="49" spans="1:4" ht="122.25" customHeight="1">
      <c r="A49" s="34" t="s">
        <v>536</v>
      </c>
      <c r="B49" s="16" t="s">
        <v>267</v>
      </c>
      <c r="C49" s="16">
        <v>600</v>
      </c>
      <c r="D49" s="35">
        <f>17420+546081.6+177297+121351.57</f>
        <v>862150.1699999999</v>
      </c>
    </row>
    <row r="50" spans="1:4" ht="134.25" customHeight="1">
      <c r="A50" s="25" t="s">
        <v>537</v>
      </c>
      <c r="B50" s="16" t="s">
        <v>19</v>
      </c>
      <c r="C50" s="16">
        <v>200</v>
      </c>
      <c r="D50" s="35">
        <f>149795+44238-11079</f>
        <v>182954</v>
      </c>
    </row>
    <row r="51" spans="1:4" ht="134.25" customHeight="1">
      <c r="A51" s="25" t="s">
        <v>387</v>
      </c>
      <c r="B51" s="16" t="s">
        <v>19</v>
      </c>
      <c r="C51" s="16">
        <v>600</v>
      </c>
      <c r="D51" s="35">
        <f>163927.17+52062</f>
        <v>215989.17</v>
      </c>
    </row>
    <row r="52" spans="1:4" ht="134.25" customHeight="1">
      <c r="A52" s="25" t="s">
        <v>480</v>
      </c>
      <c r="B52" s="16" t="s">
        <v>481</v>
      </c>
      <c r="C52" s="16">
        <v>200</v>
      </c>
      <c r="D52" s="35">
        <v>58700</v>
      </c>
    </row>
    <row r="53" spans="1:4" ht="165.75" customHeight="1">
      <c r="A53" s="25" t="s">
        <v>538</v>
      </c>
      <c r="B53" s="16" t="s">
        <v>481</v>
      </c>
      <c r="C53" s="16">
        <v>600</v>
      </c>
      <c r="D53" s="35">
        <f>87400+30900</f>
        <v>118300</v>
      </c>
    </row>
    <row r="54" spans="1:6" s="8" customFormat="1" ht="63">
      <c r="A54" s="41" t="s">
        <v>560</v>
      </c>
      <c r="B54" s="42" t="s">
        <v>20</v>
      </c>
      <c r="C54" s="42"/>
      <c r="D54" s="43">
        <f>D55</f>
        <v>9575289.67</v>
      </c>
      <c r="F54" s="19"/>
    </row>
    <row r="55" spans="1:6" s="4" customFormat="1" ht="71.25" customHeight="1">
      <c r="A55" s="44" t="s">
        <v>561</v>
      </c>
      <c r="B55" s="45" t="s">
        <v>21</v>
      </c>
      <c r="C55" s="45"/>
      <c r="D55" s="46">
        <f>SUM(D56:D59)</f>
        <v>9575289.67</v>
      </c>
      <c r="F55" s="20"/>
    </row>
    <row r="56" spans="1:4" ht="99" customHeight="1">
      <c r="A56" s="34" t="s">
        <v>499</v>
      </c>
      <c r="B56" s="16" t="s">
        <v>22</v>
      </c>
      <c r="C56" s="16">
        <v>600</v>
      </c>
      <c r="D56" s="35">
        <f>7732400+131500</f>
        <v>7863900</v>
      </c>
    </row>
    <row r="57" spans="1:4" ht="138.75" customHeight="1">
      <c r="A57" s="34" t="s">
        <v>275</v>
      </c>
      <c r="B57" s="16" t="s">
        <v>308</v>
      </c>
      <c r="C57" s="16">
        <v>600</v>
      </c>
      <c r="D57" s="35">
        <f>1580520.67</f>
        <v>1580520.67</v>
      </c>
    </row>
    <row r="58" spans="1:4" ht="162" customHeight="1">
      <c r="A58" s="34" t="s">
        <v>564</v>
      </c>
      <c r="B58" s="16" t="s">
        <v>562</v>
      </c>
      <c r="C58" s="16">
        <v>600</v>
      </c>
      <c r="D58" s="35">
        <v>1580</v>
      </c>
    </row>
    <row r="59" spans="1:4" ht="170.25" customHeight="1">
      <c r="A59" s="51" t="s">
        <v>565</v>
      </c>
      <c r="B59" s="16" t="s">
        <v>563</v>
      </c>
      <c r="C59" s="16">
        <v>600</v>
      </c>
      <c r="D59" s="35">
        <v>129289</v>
      </c>
    </row>
    <row r="60" spans="1:6" s="8" customFormat="1" ht="44.25" customHeight="1">
      <c r="A60" s="41" t="s">
        <v>24</v>
      </c>
      <c r="B60" s="42" t="s">
        <v>23</v>
      </c>
      <c r="C60" s="42"/>
      <c r="D60" s="43">
        <f>D61+D66</f>
        <v>659300</v>
      </c>
      <c r="F60" s="19"/>
    </row>
    <row r="61" spans="1:6" s="4" customFormat="1" ht="49.5" customHeight="1">
      <c r="A61" s="44" t="s">
        <v>433</v>
      </c>
      <c r="B61" s="45" t="s">
        <v>25</v>
      </c>
      <c r="C61" s="45"/>
      <c r="D61" s="46">
        <f>SUM(D62:D65)</f>
        <v>613100</v>
      </c>
      <c r="F61" s="20"/>
    </row>
    <row r="62" spans="1:4" ht="111" customHeight="1">
      <c r="A62" s="34" t="s">
        <v>426</v>
      </c>
      <c r="B62" s="16" t="s">
        <v>26</v>
      </c>
      <c r="C62" s="16">
        <v>600</v>
      </c>
      <c r="D62" s="35">
        <f>230700-150000+23100</f>
        <v>103800</v>
      </c>
    </row>
    <row r="63" spans="1:4" ht="99" customHeight="1">
      <c r="A63" s="34" t="s">
        <v>416</v>
      </c>
      <c r="B63" s="16" t="s">
        <v>27</v>
      </c>
      <c r="C63" s="16">
        <v>200</v>
      </c>
      <c r="D63" s="35">
        <f>47300-23100</f>
        <v>24200</v>
      </c>
    </row>
    <row r="64" spans="1:4" ht="114.75" customHeight="1">
      <c r="A64" s="34" t="s">
        <v>430</v>
      </c>
      <c r="B64" s="16" t="s">
        <v>28</v>
      </c>
      <c r="C64" s="16">
        <v>200</v>
      </c>
      <c r="D64" s="35">
        <f>216300-8400</f>
        <v>207900</v>
      </c>
    </row>
    <row r="65" spans="1:4" ht="135" customHeight="1">
      <c r="A65" s="34" t="s">
        <v>431</v>
      </c>
      <c r="B65" s="16" t="s">
        <v>28</v>
      </c>
      <c r="C65" s="16">
        <v>600</v>
      </c>
      <c r="D65" s="35">
        <f>268800+8400</f>
        <v>277200</v>
      </c>
    </row>
    <row r="66" spans="1:6" s="4" customFormat="1" ht="37.5">
      <c r="A66" s="44" t="s">
        <v>334</v>
      </c>
      <c r="B66" s="45" t="s">
        <v>29</v>
      </c>
      <c r="C66" s="45"/>
      <c r="D66" s="46">
        <f>D67</f>
        <v>46200</v>
      </c>
      <c r="F66" s="20"/>
    </row>
    <row r="67" spans="1:4" ht="119.25" customHeight="1">
      <c r="A67" s="34" t="s">
        <v>335</v>
      </c>
      <c r="B67" s="16" t="s">
        <v>30</v>
      </c>
      <c r="C67" s="16">
        <v>200</v>
      </c>
      <c r="D67" s="35">
        <v>46200</v>
      </c>
    </row>
    <row r="68" spans="1:6" s="8" customFormat="1" ht="31.5">
      <c r="A68" s="41" t="s">
        <v>388</v>
      </c>
      <c r="B68" s="42" t="s">
        <v>31</v>
      </c>
      <c r="C68" s="42"/>
      <c r="D68" s="43">
        <f>D69</f>
        <v>135000</v>
      </c>
      <c r="F68" s="19"/>
    </row>
    <row r="69" spans="1:6" s="4" customFormat="1" ht="50.25">
      <c r="A69" s="44" t="s">
        <v>389</v>
      </c>
      <c r="B69" s="45" t="s">
        <v>32</v>
      </c>
      <c r="C69" s="45"/>
      <c r="D69" s="46">
        <f>SUM(D70:D73)</f>
        <v>135000</v>
      </c>
      <c r="F69" s="20"/>
    </row>
    <row r="70" spans="1:4" ht="151.5" customHeight="1">
      <c r="A70" s="34" t="s">
        <v>390</v>
      </c>
      <c r="B70" s="16" t="s">
        <v>33</v>
      </c>
      <c r="C70" s="16">
        <v>200</v>
      </c>
      <c r="D70" s="35">
        <f>60000-10000</f>
        <v>50000</v>
      </c>
    </row>
    <row r="71" spans="1:4" ht="154.5" customHeight="1">
      <c r="A71" s="34" t="s">
        <v>391</v>
      </c>
      <c r="B71" s="16" t="s">
        <v>33</v>
      </c>
      <c r="C71" s="16">
        <v>600</v>
      </c>
      <c r="D71" s="35">
        <f>65000-10000</f>
        <v>55000</v>
      </c>
    </row>
    <row r="72" spans="1:4" ht="130.5" customHeight="1">
      <c r="A72" s="34" t="s">
        <v>392</v>
      </c>
      <c r="B72" s="16" t="s">
        <v>34</v>
      </c>
      <c r="C72" s="16">
        <v>200</v>
      </c>
      <c r="D72" s="35">
        <f>2000+6000</f>
        <v>8000</v>
      </c>
    </row>
    <row r="73" spans="1:4" ht="129" customHeight="1">
      <c r="A73" s="34" t="s">
        <v>393</v>
      </c>
      <c r="B73" s="16" t="s">
        <v>34</v>
      </c>
      <c r="C73" s="16">
        <v>600</v>
      </c>
      <c r="D73" s="35">
        <f>28000-6000</f>
        <v>22000</v>
      </c>
    </row>
    <row r="74" spans="1:6" s="8" customFormat="1" ht="40.5" customHeight="1">
      <c r="A74" s="47" t="s">
        <v>36</v>
      </c>
      <c r="B74" s="42" t="s">
        <v>35</v>
      </c>
      <c r="C74" s="42"/>
      <c r="D74" s="43">
        <f>D75</f>
        <v>50000</v>
      </c>
      <c r="F74" s="19"/>
    </row>
    <row r="75" spans="1:6" s="4" customFormat="1" ht="42.75" customHeight="1">
      <c r="A75" s="44" t="s">
        <v>38</v>
      </c>
      <c r="B75" s="45" t="s">
        <v>37</v>
      </c>
      <c r="C75" s="45"/>
      <c r="D75" s="46">
        <f>SUM(D76:D77)</f>
        <v>50000</v>
      </c>
      <c r="F75" s="20"/>
    </row>
    <row r="76" spans="1:4" ht="135" customHeight="1">
      <c r="A76" s="34" t="s">
        <v>314</v>
      </c>
      <c r="B76" s="16" t="s">
        <v>39</v>
      </c>
      <c r="C76" s="16">
        <v>200</v>
      </c>
      <c r="D76" s="35">
        <v>30000</v>
      </c>
    </row>
    <row r="77" spans="1:4" ht="135.75" customHeight="1">
      <c r="A77" s="34" t="s">
        <v>287</v>
      </c>
      <c r="B77" s="16" t="s">
        <v>39</v>
      </c>
      <c r="C77" s="16">
        <v>600</v>
      </c>
      <c r="D77" s="35">
        <v>20000</v>
      </c>
    </row>
    <row r="78" spans="1:6" s="8" customFormat="1" ht="79.5" customHeight="1">
      <c r="A78" s="41" t="s">
        <v>41</v>
      </c>
      <c r="B78" s="42" t="s">
        <v>40</v>
      </c>
      <c r="C78" s="42"/>
      <c r="D78" s="43">
        <f>D79</f>
        <v>97100</v>
      </c>
      <c r="F78" s="19"/>
    </row>
    <row r="79" spans="1:6" s="4" customFormat="1" ht="37.5">
      <c r="A79" s="44" t="s">
        <v>42</v>
      </c>
      <c r="B79" s="45" t="s">
        <v>296</v>
      </c>
      <c r="C79" s="45"/>
      <c r="D79" s="46">
        <f>SUM(D80:D81)</f>
        <v>97100</v>
      </c>
      <c r="F79" s="20"/>
    </row>
    <row r="80" spans="1:4" ht="113.25" customHeight="1">
      <c r="A80" s="34" t="s">
        <v>492</v>
      </c>
      <c r="B80" s="16" t="s">
        <v>43</v>
      </c>
      <c r="C80" s="16">
        <v>200</v>
      </c>
      <c r="D80" s="35">
        <f>67100-9662</f>
        <v>57438</v>
      </c>
    </row>
    <row r="81" spans="1:4" ht="119.25" customHeight="1">
      <c r="A81" s="34" t="s">
        <v>493</v>
      </c>
      <c r="B81" s="16" t="s">
        <v>43</v>
      </c>
      <c r="C81" s="16">
        <v>600</v>
      </c>
      <c r="D81" s="35">
        <f>30000+9662</f>
        <v>39662</v>
      </c>
    </row>
    <row r="82" spans="1:6" s="8" customFormat="1" ht="95.25" customHeight="1">
      <c r="A82" s="41" t="s">
        <v>566</v>
      </c>
      <c r="B82" s="42" t="s">
        <v>44</v>
      </c>
      <c r="C82" s="42"/>
      <c r="D82" s="43">
        <f>D83</f>
        <v>6415600</v>
      </c>
      <c r="F82" s="19"/>
    </row>
    <row r="83" spans="1:6" s="4" customFormat="1" ht="105.75" customHeight="1">
      <c r="A83" s="44" t="s">
        <v>567</v>
      </c>
      <c r="B83" s="45" t="s">
        <v>45</v>
      </c>
      <c r="C83" s="45"/>
      <c r="D83" s="46">
        <f>SUM(D84:D86)</f>
        <v>6415600</v>
      </c>
      <c r="F83" s="20"/>
    </row>
    <row r="84" spans="1:4" ht="117.75" customHeight="1">
      <c r="A84" s="34" t="s">
        <v>268</v>
      </c>
      <c r="B84" s="16" t="s">
        <v>46</v>
      </c>
      <c r="C84" s="16">
        <v>100</v>
      </c>
      <c r="D84" s="35">
        <f>4672600</f>
        <v>4672600</v>
      </c>
    </row>
    <row r="85" spans="1:4" ht="114.75" customHeight="1">
      <c r="A85" s="34" t="s">
        <v>568</v>
      </c>
      <c r="B85" s="16" t="s">
        <v>46</v>
      </c>
      <c r="C85" s="16">
        <v>200</v>
      </c>
      <c r="D85" s="35">
        <f>1369000+200000+100000-18600-2100+35000</f>
        <v>1683300</v>
      </c>
    </row>
    <row r="86" spans="1:4" ht="73.5" customHeight="1">
      <c r="A86" s="34" t="s">
        <v>500</v>
      </c>
      <c r="B86" s="16" t="s">
        <v>46</v>
      </c>
      <c r="C86" s="16">
        <v>800</v>
      </c>
      <c r="D86" s="35">
        <f>39000+18600+2100</f>
        <v>59700</v>
      </c>
    </row>
    <row r="87" spans="1:6" s="8" customFormat="1" ht="132.75" customHeight="1">
      <c r="A87" s="41" t="s">
        <v>569</v>
      </c>
      <c r="B87" s="42" t="s">
        <v>47</v>
      </c>
      <c r="C87" s="42"/>
      <c r="D87" s="43">
        <f>D88+D95+D101+D104+D108+D116+D121+D124</f>
        <v>6402659.46</v>
      </c>
      <c r="F87" s="19"/>
    </row>
    <row r="88" spans="1:6" s="8" customFormat="1" ht="67.5" customHeight="1">
      <c r="A88" s="41" t="s">
        <v>570</v>
      </c>
      <c r="B88" s="42" t="s">
        <v>48</v>
      </c>
      <c r="C88" s="42"/>
      <c r="D88" s="43">
        <f>D89+D92</f>
        <v>2019812.03</v>
      </c>
      <c r="F88" s="19"/>
    </row>
    <row r="89" spans="1:6" s="4" customFormat="1" ht="79.5" customHeight="1" hidden="1">
      <c r="A89" s="44" t="s">
        <v>50</v>
      </c>
      <c r="B89" s="45" t="s">
        <v>49</v>
      </c>
      <c r="C89" s="45"/>
      <c r="D89" s="46">
        <f>SUM(D90:D91)</f>
        <v>0</v>
      </c>
      <c r="F89" s="20"/>
    </row>
    <row r="90" spans="1:4" ht="80.25" customHeight="1" hidden="1">
      <c r="A90" s="34" t="s">
        <v>52</v>
      </c>
      <c r="B90" s="16" t="s">
        <v>51</v>
      </c>
      <c r="C90" s="16"/>
      <c r="D90" s="35"/>
    </row>
    <row r="91" spans="1:4" ht="7.5" customHeight="1" hidden="1">
      <c r="A91" s="34" t="s">
        <v>54</v>
      </c>
      <c r="B91" s="16" t="s">
        <v>53</v>
      </c>
      <c r="C91" s="16"/>
      <c r="D91" s="35"/>
    </row>
    <row r="92" spans="1:6" s="4" customFormat="1" ht="108" customHeight="1">
      <c r="A92" s="44" t="s">
        <v>571</v>
      </c>
      <c r="B92" s="45" t="s">
        <v>55</v>
      </c>
      <c r="C92" s="45"/>
      <c r="D92" s="46">
        <f>SUM(D93:D94)</f>
        <v>2019812.03</v>
      </c>
      <c r="F92" s="20"/>
    </row>
    <row r="93" spans="1:4" ht="108" customHeight="1">
      <c r="A93" s="34" t="s">
        <v>572</v>
      </c>
      <c r="B93" s="16" t="s">
        <v>56</v>
      </c>
      <c r="C93" s="16">
        <v>200</v>
      </c>
      <c r="D93" s="35">
        <f>300000+705867.03-235445+54000-10</f>
        <v>824412.03</v>
      </c>
    </row>
    <row r="94" spans="1:4" ht="78" customHeight="1">
      <c r="A94" s="34" t="s">
        <v>315</v>
      </c>
      <c r="B94" s="16" t="s">
        <v>57</v>
      </c>
      <c r="C94" s="16">
        <v>200</v>
      </c>
      <c r="D94" s="35">
        <f>1195400</f>
        <v>1195400</v>
      </c>
    </row>
    <row r="95" spans="1:6" s="8" customFormat="1" ht="78.75" customHeight="1">
      <c r="A95" s="41" t="s">
        <v>539</v>
      </c>
      <c r="B95" s="42" t="s">
        <v>58</v>
      </c>
      <c r="C95" s="42"/>
      <c r="D95" s="43">
        <f>D96</f>
        <v>132000</v>
      </c>
      <c r="F95" s="19"/>
    </row>
    <row r="96" spans="1:6" s="4" customFormat="1" ht="67.5" customHeight="1">
      <c r="A96" s="44" t="s">
        <v>540</v>
      </c>
      <c r="B96" s="45" t="s">
        <v>59</v>
      </c>
      <c r="C96" s="45"/>
      <c r="D96" s="46">
        <f>SUM(D97:D100)</f>
        <v>132000</v>
      </c>
      <c r="F96" s="20"/>
    </row>
    <row r="97" spans="1:4" ht="92.25" customHeight="1">
      <c r="A97" s="34" t="s">
        <v>466</v>
      </c>
      <c r="B97" s="16" t="s">
        <v>60</v>
      </c>
      <c r="C97" s="16">
        <v>200</v>
      </c>
      <c r="D97" s="35">
        <f>82000-52000</f>
        <v>30000</v>
      </c>
    </row>
    <row r="98" spans="1:4" ht="154.5" customHeight="1">
      <c r="A98" s="34" t="s">
        <v>541</v>
      </c>
      <c r="B98" s="16" t="s">
        <v>61</v>
      </c>
      <c r="C98" s="16">
        <v>200</v>
      </c>
      <c r="D98" s="35">
        <f>60000-12000</f>
        <v>48000</v>
      </c>
    </row>
    <row r="99" spans="1:4" ht="135.75" customHeight="1">
      <c r="A99" s="34" t="s">
        <v>276</v>
      </c>
      <c r="B99" s="16" t="s">
        <v>61</v>
      </c>
      <c r="C99" s="16">
        <v>600</v>
      </c>
      <c r="D99" s="35">
        <f>24000</f>
        <v>24000</v>
      </c>
    </row>
    <row r="100" spans="1:4" ht="77.25" customHeight="1">
      <c r="A100" s="34" t="s">
        <v>316</v>
      </c>
      <c r="B100" s="16" t="s">
        <v>62</v>
      </c>
      <c r="C100" s="16">
        <v>200</v>
      </c>
      <c r="D100" s="35">
        <f>30000</f>
        <v>30000</v>
      </c>
    </row>
    <row r="101" spans="1:6" s="8" customFormat="1" ht="104.25" customHeight="1">
      <c r="A101" s="41" t="s">
        <v>573</v>
      </c>
      <c r="B101" s="42" t="s">
        <v>63</v>
      </c>
      <c r="C101" s="42"/>
      <c r="D101" s="43">
        <f>D102</f>
        <v>0</v>
      </c>
      <c r="F101" s="19"/>
    </row>
    <row r="102" spans="1:6" s="4" customFormat="1" ht="79.5" customHeight="1">
      <c r="A102" s="44" t="s">
        <v>574</v>
      </c>
      <c r="B102" s="45" t="s">
        <v>64</v>
      </c>
      <c r="C102" s="45"/>
      <c r="D102" s="46">
        <f>D103</f>
        <v>0</v>
      </c>
      <c r="F102" s="20"/>
    </row>
    <row r="103" spans="1:4" ht="99.75" customHeight="1">
      <c r="A103" s="34" t="s">
        <v>575</v>
      </c>
      <c r="B103" s="16" t="s">
        <v>65</v>
      </c>
      <c r="C103" s="16">
        <v>800</v>
      </c>
      <c r="D103" s="35">
        <f>413700-38800-5284.43-5625-30000-250000-83990.57</f>
        <v>0</v>
      </c>
    </row>
    <row r="104" spans="1:6" s="8" customFormat="1" ht="135.75" customHeight="1">
      <c r="A104" s="41" t="s">
        <v>67</v>
      </c>
      <c r="B104" s="42" t="s">
        <v>66</v>
      </c>
      <c r="C104" s="42"/>
      <c r="D104" s="43">
        <f>D105</f>
        <v>1500000</v>
      </c>
      <c r="F104" s="19"/>
    </row>
    <row r="105" spans="1:6" s="4" customFormat="1" ht="59.25" customHeight="1">
      <c r="A105" s="44" t="s">
        <v>69</v>
      </c>
      <c r="B105" s="45" t="s">
        <v>68</v>
      </c>
      <c r="C105" s="45"/>
      <c r="D105" s="46">
        <f>SUM(D106:D107)</f>
        <v>1500000</v>
      </c>
      <c r="F105" s="20"/>
    </row>
    <row r="106" spans="1:4" ht="117.75" customHeight="1">
      <c r="A106" s="34" t="s">
        <v>288</v>
      </c>
      <c r="B106" s="16" t="s">
        <v>70</v>
      </c>
      <c r="C106" s="16">
        <v>800</v>
      </c>
      <c r="D106" s="35">
        <f>1500000</f>
        <v>1500000</v>
      </c>
    </row>
    <row r="107" spans="1:4" ht="134.25" customHeight="1" hidden="1">
      <c r="A107" s="34" t="s">
        <v>72</v>
      </c>
      <c r="B107" s="16" t="s">
        <v>71</v>
      </c>
      <c r="C107" s="16"/>
      <c r="D107" s="35">
        <v>0</v>
      </c>
    </row>
    <row r="108" spans="1:6" s="8" customFormat="1" ht="80.25" customHeight="1">
      <c r="A108" s="41" t="s">
        <v>440</v>
      </c>
      <c r="B108" s="42" t="s">
        <v>73</v>
      </c>
      <c r="C108" s="42"/>
      <c r="D108" s="43">
        <f>D109</f>
        <v>1450847.43</v>
      </c>
      <c r="F108" s="19"/>
    </row>
    <row r="109" spans="1:6" s="4" customFormat="1" ht="66.75" customHeight="1">
      <c r="A109" s="44" t="s">
        <v>441</v>
      </c>
      <c r="B109" s="45" t="s">
        <v>74</v>
      </c>
      <c r="C109" s="45"/>
      <c r="D109" s="46">
        <f>SUM(D110:D115)</f>
        <v>1450847.43</v>
      </c>
      <c r="F109" s="20"/>
    </row>
    <row r="110" spans="1:4" ht="15" customHeight="1" hidden="1">
      <c r="A110" s="34" t="s">
        <v>76</v>
      </c>
      <c r="B110" s="16" t="s">
        <v>75</v>
      </c>
      <c r="C110" s="16"/>
      <c r="D110" s="35"/>
    </row>
    <row r="111" spans="1:4" ht="83.25" customHeight="1">
      <c r="A111" s="34" t="s">
        <v>432</v>
      </c>
      <c r="B111" s="16" t="s">
        <v>75</v>
      </c>
      <c r="C111" s="16">
        <v>300</v>
      </c>
      <c r="D111" s="35">
        <v>348902.2</v>
      </c>
    </row>
    <row r="112" spans="1:4" ht="89.25" customHeight="1">
      <c r="A112" s="34" t="s">
        <v>394</v>
      </c>
      <c r="B112" s="16" t="s">
        <v>77</v>
      </c>
      <c r="C112" s="16">
        <v>300</v>
      </c>
      <c r="D112" s="35">
        <f>751400-303516.22</f>
        <v>447883.78</v>
      </c>
    </row>
    <row r="113" spans="1:4" ht="0.75" customHeight="1" hidden="1">
      <c r="A113" s="34" t="s">
        <v>79</v>
      </c>
      <c r="B113" s="16" t="s">
        <v>78</v>
      </c>
      <c r="C113" s="16"/>
      <c r="D113" s="35"/>
    </row>
    <row r="114" spans="1:4" ht="89.25" customHeight="1">
      <c r="A114" s="34" t="s">
        <v>417</v>
      </c>
      <c r="B114" s="16" t="s">
        <v>78</v>
      </c>
      <c r="C114" s="16">
        <v>300</v>
      </c>
      <c r="D114" s="35">
        <v>509161.45</v>
      </c>
    </row>
    <row r="115" spans="1:4" ht="129.75" customHeight="1">
      <c r="A115" s="34" t="s">
        <v>443</v>
      </c>
      <c r="B115" s="16" t="s">
        <v>442</v>
      </c>
      <c r="C115" s="16">
        <v>300</v>
      </c>
      <c r="D115" s="35">
        <v>144900</v>
      </c>
    </row>
    <row r="116" spans="1:4" ht="89.25" customHeight="1">
      <c r="A116" s="41" t="s">
        <v>444</v>
      </c>
      <c r="B116" s="42" t="s">
        <v>80</v>
      </c>
      <c r="C116" s="16"/>
      <c r="D116" s="43">
        <f>D117</f>
        <v>0</v>
      </c>
    </row>
    <row r="117" spans="1:6" s="4" customFormat="1" ht="88.5" customHeight="1">
      <c r="A117" s="44" t="s">
        <v>445</v>
      </c>
      <c r="B117" s="45" t="s">
        <v>81</v>
      </c>
      <c r="C117" s="45"/>
      <c r="D117" s="46">
        <f>SUM(D118:D120)</f>
        <v>0</v>
      </c>
      <c r="F117" s="20"/>
    </row>
    <row r="118" spans="1:4" ht="162.75" customHeight="1">
      <c r="A118" s="34" t="s">
        <v>446</v>
      </c>
      <c r="B118" s="16" t="s">
        <v>82</v>
      </c>
      <c r="C118" s="16">
        <v>300</v>
      </c>
      <c r="D118" s="35">
        <f>168500-35657.44-132842.56</f>
        <v>0</v>
      </c>
    </row>
    <row r="119" spans="1:4" ht="56.25" customHeight="1" hidden="1">
      <c r="A119" s="34" t="s">
        <v>84</v>
      </c>
      <c r="B119" s="16" t="s">
        <v>83</v>
      </c>
      <c r="C119" s="16"/>
      <c r="D119" s="35"/>
    </row>
    <row r="120" spans="1:4" ht="8.25" customHeight="1" hidden="1">
      <c r="A120" s="34" t="s">
        <v>86</v>
      </c>
      <c r="B120" s="16" t="s">
        <v>85</v>
      </c>
      <c r="C120" s="16"/>
      <c r="D120" s="35"/>
    </row>
    <row r="121" spans="1:6" s="8" customFormat="1" ht="63">
      <c r="A121" s="41" t="s">
        <v>467</v>
      </c>
      <c r="B121" s="42" t="s">
        <v>87</v>
      </c>
      <c r="C121" s="42"/>
      <c r="D121" s="43">
        <f>D122</f>
        <v>0</v>
      </c>
      <c r="F121" s="19"/>
    </row>
    <row r="122" spans="1:6" s="4" customFormat="1" ht="50.25">
      <c r="A122" s="44" t="s">
        <v>468</v>
      </c>
      <c r="B122" s="45" t="s">
        <v>88</v>
      </c>
      <c r="C122" s="45"/>
      <c r="D122" s="46">
        <f>SUM(D123:D123)</f>
        <v>0</v>
      </c>
      <c r="F122" s="20"/>
    </row>
    <row r="123" spans="1:4" ht="75.75" customHeight="1">
      <c r="A123" s="34" t="s">
        <v>469</v>
      </c>
      <c r="B123" s="16" t="s">
        <v>89</v>
      </c>
      <c r="C123" s="16">
        <v>200</v>
      </c>
      <c r="D123" s="35">
        <f>500000-450000-50000</f>
        <v>0</v>
      </c>
    </row>
    <row r="124" spans="1:6" s="8" customFormat="1" ht="60" customHeight="1">
      <c r="A124" s="41" t="s">
        <v>260</v>
      </c>
      <c r="B124" s="42" t="s">
        <v>90</v>
      </c>
      <c r="C124" s="42"/>
      <c r="D124" s="43">
        <f>D125</f>
        <v>1300000</v>
      </c>
      <c r="F124" s="19"/>
    </row>
    <row r="125" spans="1:6" s="4" customFormat="1" ht="56.25">
      <c r="A125" s="48" t="s">
        <v>261</v>
      </c>
      <c r="B125" s="45" t="s">
        <v>91</v>
      </c>
      <c r="C125" s="45"/>
      <c r="D125" s="46">
        <f>D126</f>
        <v>1300000</v>
      </c>
      <c r="F125" s="20"/>
    </row>
    <row r="126" spans="1:4" ht="79.5" customHeight="1">
      <c r="A126" s="34" t="s">
        <v>289</v>
      </c>
      <c r="B126" s="16" t="s">
        <v>92</v>
      </c>
      <c r="C126" s="16">
        <v>800</v>
      </c>
      <c r="D126" s="35">
        <f>1300000</f>
        <v>1300000</v>
      </c>
    </row>
    <row r="127" spans="1:6" s="8" customFormat="1" ht="91.5" customHeight="1">
      <c r="A127" s="41" t="s">
        <v>576</v>
      </c>
      <c r="B127" s="42" t="s">
        <v>93</v>
      </c>
      <c r="C127" s="42"/>
      <c r="D127" s="43">
        <f>D128+D138+D144+D148+D152+D155+D161+D164+D169</f>
        <v>17578720</v>
      </c>
      <c r="F127" s="19"/>
    </row>
    <row r="128" spans="1:6" s="8" customFormat="1" ht="69.75" customHeight="1">
      <c r="A128" s="41" t="s">
        <v>577</v>
      </c>
      <c r="B128" s="42" t="s">
        <v>94</v>
      </c>
      <c r="C128" s="42"/>
      <c r="D128" s="43">
        <f>D129+D135</f>
        <v>13138599</v>
      </c>
      <c r="F128" s="19"/>
    </row>
    <row r="129" spans="1:6" s="4" customFormat="1" ht="65.25" customHeight="1">
      <c r="A129" s="44" t="s">
        <v>578</v>
      </c>
      <c r="B129" s="45" t="s">
        <v>95</v>
      </c>
      <c r="C129" s="45"/>
      <c r="D129" s="46">
        <f>SUM(D130:D134)</f>
        <v>11255610</v>
      </c>
      <c r="F129" s="20"/>
    </row>
    <row r="130" spans="1:4" ht="152.25" customHeight="1">
      <c r="A130" s="34" t="s">
        <v>501</v>
      </c>
      <c r="B130" s="16" t="s">
        <v>96</v>
      </c>
      <c r="C130" s="16">
        <v>100</v>
      </c>
      <c r="D130" s="35">
        <f>8184919+179000</f>
        <v>8363919</v>
      </c>
    </row>
    <row r="131" spans="1:4" ht="95.25" customHeight="1">
      <c r="A131" s="34" t="s">
        <v>542</v>
      </c>
      <c r="B131" s="16" t="s">
        <v>96</v>
      </c>
      <c r="C131" s="16">
        <v>200</v>
      </c>
      <c r="D131" s="35">
        <f>1972985+15488.07+20000</f>
        <v>2008473.07</v>
      </c>
    </row>
    <row r="132" spans="1:4" ht="76.5" customHeight="1">
      <c r="A132" s="34" t="s">
        <v>502</v>
      </c>
      <c r="B132" s="16" t="s">
        <v>96</v>
      </c>
      <c r="C132" s="16">
        <v>800</v>
      </c>
      <c r="D132" s="35">
        <f>42000-15488.07</f>
        <v>26511.93</v>
      </c>
    </row>
    <row r="133" spans="1:4" ht="138" customHeight="1">
      <c r="A133" s="34" t="s">
        <v>269</v>
      </c>
      <c r="B133" s="16" t="s">
        <v>97</v>
      </c>
      <c r="C133" s="16">
        <v>100</v>
      </c>
      <c r="D133" s="35">
        <v>444816</v>
      </c>
    </row>
    <row r="134" spans="1:4" ht="120" customHeight="1">
      <c r="A134" s="34" t="s">
        <v>579</v>
      </c>
      <c r="B134" s="16" t="s">
        <v>97</v>
      </c>
      <c r="C134" s="16">
        <v>200</v>
      </c>
      <c r="D134" s="35">
        <f>381890+30000</f>
        <v>411890</v>
      </c>
    </row>
    <row r="135" spans="1:6" s="4" customFormat="1" ht="69">
      <c r="A135" s="44" t="s">
        <v>382</v>
      </c>
      <c r="B135" s="45" t="s">
        <v>98</v>
      </c>
      <c r="C135" s="45"/>
      <c r="D135" s="46">
        <f>SUM(D136:D137)</f>
        <v>1882989</v>
      </c>
      <c r="F135" s="20"/>
    </row>
    <row r="136" spans="1:4" ht="201.75" customHeight="1">
      <c r="A136" s="34" t="s">
        <v>383</v>
      </c>
      <c r="B136" s="16" t="s">
        <v>99</v>
      </c>
      <c r="C136" s="16">
        <v>100</v>
      </c>
      <c r="D136" s="35">
        <f>445470+661865+100000</f>
        <v>1207335</v>
      </c>
    </row>
    <row r="137" spans="1:4" ht="174" customHeight="1">
      <c r="A137" s="34" t="s">
        <v>336</v>
      </c>
      <c r="B137" s="16" t="s">
        <v>100</v>
      </c>
      <c r="C137" s="16">
        <v>100</v>
      </c>
      <c r="D137" s="35">
        <v>675654</v>
      </c>
    </row>
    <row r="138" spans="1:6" s="8" customFormat="1" ht="63">
      <c r="A138" s="41" t="s">
        <v>503</v>
      </c>
      <c r="B138" s="42" t="s">
        <v>101</v>
      </c>
      <c r="C138" s="42"/>
      <c r="D138" s="43">
        <f>D139+D141</f>
        <v>3790121</v>
      </c>
      <c r="F138" s="19"/>
    </row>
    <row r="139" spans="1:6" s="4" customFormat="1" ht="63">
      <c r="A139" s="44" t="s">
        <v>504</v>
      </c>
      <c r="B139" s="45" t="s">
        <v>102</v>
      </c>
      <c r="C139" s="45"/>
      <c r="D139" s="46">
        <f>D140</f>
        <v>3484821</v>
      </c>
      <c r="F139" s="20"/>
    </row>
    <row r="140" spans="1:4" ht="98.25" customHeight="1">
      <c r="A140" s="34" t="s">
        <v>505</v>
      </c>
      <c r="B140" s="16" t="s">
        <v>103</v>
      </c>
      <c r="C140" s="16">
        <v>600</v>
      </c>
      <c r="D140" s="35">
        <f>3456821+28000</f>
        <v>3484821</v>
      </c>
    </row>
    <row r="141" spans="1:6" s="4" customFormat="1" ht="56.25">
      <c r="A141" s="44" t="s">
        <v>105</v>
      </c>
      <c r="B141" s="45" t="s">
        <v>104</v>
      </c>
      <c r="C141" s="45"/>
      <c r="D141" s="46">
        <f>SUM(D142:D143)</f>
        <v>305300</v>
      </c>
      <c r="F141" s="20"/>
    </row>
    <row r="142" spans="1:4" ht="157.5" customHeight="1">
      <c r="A142" s="34" t="s">
        <v>277</v>
      </c>
      <c r="B142" s="16" t="s">
        <v>309</v>
      </c>
      <c r="C142" s="16">
        <v>600</v>
      </c>
      <c r="D142" s="35">
        <f>305300</f>
        <v>305300</v>
      </c>
    </row>
    <row r="143" spans="1:4" ht="95.25" customHeight="1" hidden="1">
      <c r="A143" s="34" t="s">
        <v>107</v>
      </c>
      <c r="B143" s="16" t="s">
        <v>106</v>
      </c>
      <c r="C143" s="16"/>
      <c r="D143" s="35"/>
    </row>
    <row r="144" spans="1:6" s="8" customFormat="1" ht="37.5">
      <c r="A144" s="41" t="s">
        <v>109</v>
      </c>
      <c r="B144" s="42" t="s">
        <v>108</v>
      </c>
      <c r="C144" s="42"/>
      <c r="D144" s="43">
        <f>D145</f>
        <v>220000</v>
      </c>
      <c r="F144" s="19"/>
    </row>
    <row r="145" spans="1:6" s="4" customFormat="1" ht="37.5">
      <c r="A145" s="44" t="s">
        <v>111</v>
      </c>
      <c r="B145" s="45" t="s">
        <v>110</v>
      </c>
      <c r="C145" s="45"/>
      <c r="D145" s="46">
        <f>SUM(D146:D147)</f>
        <v>220000</v>
      </c>
      <c r="F145" s="20"/>
    </row>
    <row r="146" spans="1:4" ht="117" customHeight="1">
      <c r="A146" s="34" t="s">
        <v>317</v>
      </c>
      <c r="B146" s="16" t="s">
        <v>112</v>
      </c>
      <c r="C146" s="16">
        <v>200</v>
      </c>
      <c r="D146" s="35">
        <f>160000</f>
        <v>160000</v>
      </c>
    </row>
    <row r="147" spans="1:4" ht="78" customHeight="1">
      <c r="A147" s="34" t="s">
        <v>318</v>
      </c>
      <c r="B147" s="16" t="s">
        <v>113</v>
      </c>
      <c r="C147" s="16">
        <v>200</v>
      </c>
      <c r="D147" s="35">
        <f>60000</f>
        <v>60000</v>
      </c>
    </row>
    <row r="148" spans="1:6" s="8" customFormat="1" ht="57.75" customHeight="1">
      <c r="A148" s="41" t="s">
        <v>474</v>
      </c>
      <c r="B148" s="42" t="s">
        <v>114</v>
      </c>
      <c r="C148" s="42"/>
      <c r="D148" s="43">
        <f>D149</f>
        <v>50000</v>
      </c>
      <c r="F148" s="19"/>
    </row>
    <row r="149" spans="1:6" s="4" customFormat="1" ht="60.75" customHeight="1">
      <c r="A149" s="44" t="s">
        <v>470</v>
      </c>
      <c r="B149" s="45" t="s">
        <v>115</v>
      </c>
      <c r="C149" s="45"/>
      <c r="D149" s="46">
        <f>D150+D151</f>
        <v>50000</v>
      </c>
      <c r="F149" s="20"/>
    </row>
    <row r="150" spans="1:4" ht="84" customHeight="1">
      <c r="A150" s="34" t="s">
        <v>475</v>
      </c>
      <c r="B150" s="16" t="s">
        <v>116</v>
      </c>
      <c r="C150" s="16">
        <v>200</v>
      </c>
      <c r="D150" s="35">
        <f>50000-50000</f>
        <v>0</v>
      </c>
    </row>
    <row r="151" spans="1:4" ht="93" customHeight="1">
      <c r="A151" s="34" t="s">
        <v>471</v>
      </c>
      <c r="B151" s="16" t="s">
        <v>472</v>
      </c>
      <c r="C151" s="16">
        <v>200</v>
      </c>
      <c r="D151" s="35">
        <v>50000</v>
      </c>
    </row>
    <row r="152" spans="1:6" s="8" customFormat="1" ht="93" customHeight="1">
      <c r="A152" s="41" t="s">
        <v>543</v>
      </c>
      <c r="B152" s="42" t="s">
        <v>117</v>
      </c>
      <c r="C152" s="42"/>
      <c r="D152" s="43">
        <f>D153</f>
        <v>30000</v>
      </c>
      <c r="F152" s="19"/>
    </row>
    <row r="153" spans="1:6" s="4" customFormat="1" ht="74.25" customHeight="1">
      <c r="A153" s="44" t="s">
        <v>544</v>
      </c>
      <c r="B153" s="45" t="s">
        <v>118</v>
      </c>
      <c r="C153" s="45"/>
      <c r="D153" s="46">
        <f>D154</f>
        <v>30000</v>
      </c>
      <c r="F153" s="20"/>
    </row>
    <row r="154" spans="1:4" ht="78.75" customHeight="1">
      <c r="A154" s="34" t="s">
        <v>545</v>
      </c>
      <c r="B154" s="16" t="s">
        <v>119</v>
      </c>
      <c r="C154" s="16">
        <v>200</v>
      </c>
      <c r="D154" s="35">
        <f>50000-20000</f>
        <v>30000</v>
      </c>
    </row>
    <row r="155" spans="1:6" s="8" customFormat="1" ht="84" customHeight="1">
      <c r="A155" s="41" t="s">
        <v>395</v>
      </c>
      <c r="B155" s="42" t="s">
        <v>120</v>
      </c>
      <c r="C155" s="42"/>
      <c r="D155" s="43">
        <f>D156</f>
        <v>290000</v>
      </c>
      <c r="F155" s="19"/>
    </row>
    <row r="156" spans="1:6" s="4" customFormat="1" ht="63">
      <c r="A156" s="44" t="s">
        <v>396</v>
      </c>
      <c r="B156" s="45" t="s">
        <v>121</v>
      </c>
      <c r="C156" s="45"/>
      <c r="D156" s="46">
        <f>SUM(D157:D160)</f>
        <v>290000</v>
      </c>
      <c r="F156" s="20"/>
    </row>
    <row r="157" spans="1:4" ht="93" customHeight="1">
      <c r="A157" s="34" t="s">
        <v>397</v>
      </c>
      <c r="B157" s="16" t="s">
        <v>122</v>
      </c>
      <c r="C157" s="16">
        <v>200</v>
      </c>
      <c r="D157" s="35">
        <f>320000-100000-220000</f>
        <v>0</v>
      </c>
    </row>
    <row r="158" spans="1:4" ht="93.75" customHeight="1">
      <c r="A158" s="34" t="s">
        <v>398</v>
      </c>
      <c r="B158" s="16" t="s">
        <v>300</v>
      </c>
      <c r="C158" s="16">
        <v>200</v>
      </c>
      <c r="D158" s="35">
        <f>20000-20000</f>
        <v>0</v>
      </c>
    </row>
    <row r="159" spans="1:4" ht="126.75" customHeight="1">
      <c r="A159" s="34" t="s">
        <v>399</v>
      </c>
      <c r="B159" s="16" t="s">
        <v>347</v>
      </c>
      <c r="C159" s="16">
        <v>200</v>
      </c>
      <c r="D159" s="35">
        <f>20000+120000</f>
        <v>140000</v>
      </c>
    </row>
    <row r="160" spans="1:4" ht="116.25" customHeight="1">
      <c r="A160" s="34" t="s">
        <v>479</v>
      </c>
      <c r="B160" s="16" t="s">
        <v>348</v>
      </c>
      <c r="C160" s="16">
        <v>200</v>
      </c>
      <c r="D160" s="35">
        <v>150000</v>
      </c>
    </row>
    <row r="161" spans="1:6" s="8" customFormat="1" ht="91.5" customHeight="1">
      <c r="A161" s="41" t="s">
        <v>447</v>
      </c>
      <c r="B161" s="42" t="s">
        <v>123</v>
      </c>
      <c r="C161" s="42"/>
      <c r="D161" s="43">
        <f>D162</f>
        <v>60000</v>
      </c>
      <c r="F161" s="19"/>
    </row>
    <row r="162" spans="1:6" s="4" customFormat="1" ht="63">
      <c r="A162" s="44" t="s">
        <v>448</v>
      </c>
      <c r="B162" s="45" t="s">
        <v>124</v>
      </c>
      <c r="C162" s="45"/>
      <c r="D162" s="46">
        <f>D163</f>
        <v>60000</v>
      </c>
      <c r="F162" s="20"/>
    </row>
    <row r="163" spans="1:4" ht="114.75" customHeight="1">
      <c r="A163" s="34" t="s">
        <v>449</v>
      </c>
      <c r="B163" s="16" t="s">
        <v>125</v>
      </c>
      <c r="C163" s="16">
        <v>600</v>
      </c>
      <c r="D163" s="35">
        <f>50000+10000</f>
        <v>60000</v>
      </c>
    </row>
    <row r="164" spans="1:6" s="8" customFormat="1" ht="78.75" customHeight="1">
      <c r="A164" s="47" t="s">
        <v>349</v>
      </c>
      <c r="B164" s="42" t="s">
        <v>245</v>
      </c>
      <c r="C164" s="42"/>
      <c r="D164" s="43">
        <f>D165</f>
        <v>0</v>
      </c>
      <c r="F164" s="19"/>
    </row>
    <row r="165" spans="1:6" s="4" customFormat="1" ht="50.25">
      <c r="A165" s="48" t="s">
        <v>350</v>
      </c>
      <c r="B165" s="45" t="s">
        <v>246</v>
      </c>
      <c r="C165" s="45"/>
      <c r="D165" s="46">
        <f>SUM(D166:D168)</f>
        <v>0</v>
      </c>
      <c r="F165" s="20"/>
    </row>
    <row r="166" spans="1:6" s="4" customFormat="1" ht="74.25" customHeight="1">
      <c r="A166" s="25" t="s">
        <v>351</v>
      </c>
      <c r="B166" s="16" t="s">
        <v>301</v>
      </c>
      <c r="C166" s="16">
        <v>200</v>
      </c>
      <c r="D166" s="35">
        <f>4000-4000</f>
        <v>0</v>
      </c>
      <c r="F166" s="20"/>
    </row>
    <row r="167" spans="1:6" s="4" customFormat="1" ht="78" customHeight="1">
      <c r="A167" s="25" t="s">
        <v>352</v>
      </c>
      <c r="B167" s="16" t="s">
        <v>302</v>
      </c>
      <c r="C167" s="16">
        <v>200</v>
      </c>
      <c r="D167" s="35">
        <f>3000-3000</f>
        <v>0</v>
      </c>
      <c r="F167" s="20"/>
    </row>
    <row r="168" spans="1:4" ht="96" customHeight="1">
      <c r="A168" s="25" t="s">
        <v>353</v>
      </c>
      <c r="B168" s="16" t="s">
        <v>303</v>
      </c>
      <c r="C168" s="16">
        <v>200</v>
      </c>
      <c r="D168" s="35">
        <f>3000-3000</f>
        <v>0</v>
      </c>
    </row>
    <row r="169" spans="1:6" s="8" customFormat="1" ht="78.75" customHeight="1">
      <c r="A169" s="49" t="s">
        <v>450</v>
      </c>
      <c r="B169" s="42" t="s">
        <v>247</v>
      </c>
      <c r="C169" s="42"/>
      <c r="D169" s="43">
        <f>D170</f>
        <v>0</v>
      </c>
      <c r="F169" s="19"/>
    </row>
    <row r="170" spans="1:6" s="4" customFormat="1" ht="37.5">
      <c r="A170" s="48" t="s">
        <v>249</v>
      </c>
      <c r="B170" s="45" t="s">
        <v>248</v>
      </c>
      <c r="C170" s="45"/>
      <c r="D170" s="46">
        <f>SUM(D171:D174)</f>
        <v>0</v>
      </c>
      <c r="F170" s="20"/>
    </row>
    <row r="171" spans="1:6" s="4" customFormat="1" ht="93" customHeight="1">
      <c r="A171" s="26" t="s">
        <v>354</v>
      </c>
      <c r="B171" s="16" t="s">
        <v>304</v>
      </c>
      <c r="C171" s="16">
        <v>200</v>
      </c>
      <c r="D171" s="35">
        <f>5000-5000</f>
        <v>0</v>
      </c>
      <c r="F171" s="20"/>
    </row>
    <row r="172" spans="1:6" s="4" customFormat="1" ht="126" customHeight="1">
      <c r="A172" s="26" t="s">
        <v>451</v>
      </c>
      <c r="B172" s="16" t="s">
        <v>304</v>
      </c>
      <c r="C172" s="16">
        <v>600</v>
      </c>
      <c r="D172" s="35">
        <f>5000-5000</f>
        <v>0</v>
      </c>
      <c r="F172" s="20"/>
    </row>
    <row r="173" spans="1:4" ht="93" customHeight="1">
      <c r="A173" s="26" t="s">
        <v>355</v>
      </c>
      <c r="B173" s="16" t="s">
        <v>305</v>
      </c>
      <c r="C173" s="16">
        <v>200</v>
      </c>
      <c r="D173" s="35">
        <f>5000-5000</f>
        <v>0</v>
      </c>
    </row>
    <row r="174" spans="1:4" ht="107.25" customHeight="1">
      <c r="A174" s="26" t="s">
        <v>452</v>
      </c>
      <c r="B174" s="16" t="s">
        <v>305</v>
      </c>
      <c r="C174" s="16">
        <v>600</v>
      </c>
      <c r="D174" s="35">
        <f>5000-5000</f>
        <v>0</v>
      </c>
    </row>
    <row r="175" spans="1:6" s="8" customFormat="1" ht="141" customHeight="1">
      <c r="A175" s="41" t="s">
        <v>580</v>
      </c>
      <c r="B175" s="42" t="s">
        <v>126</v>
      </c>
      <c r="C175" s="42"/>
      <c r="D175" s="43">
        <f>D176+D181+D186+D190+D195+D201+D206</f>
        <v>2235650.68</v>
      </c>
      <c r="F175" s="19"/>
    </row>
    <row r="176" spans="1:6" s="8" customFormat="1" ht="73.5" customHeight="1">
      <c r="A176" s="41" t="s">
        <v>581</v>
      </c>
      <c r="B176" s="42" t="s">
        <v>127</v>
      </c>
      <c r="C176" s="42"/>
      <c r="D176" s="43">
        <f>D177</f>
        <v>1312350.6800000002</v>
      </c>
      <c r="F176" s="19"/>
    </row>
    <row r="177" spans="1:6" s="4" customFormat="1" ht="72" customHeight="1">
      <c r="A177" s="44" t="s">
        <v>582</v>
      </c>
      <c r="B177" s="45" t="s">
        <v>128</v>
      </c>
      <c r="C177" s="45"/>
      <c r="D177" s="46">
        <f>SUM(D178:D180)</f>
        <v>1312350.6800000002</v>
      </c>
      <c r="F177" s="20"/>
    </row>
    <row r="178" spans="1:4" ht="149.25" customHeight="1">
      <c r="A178" s="34" t="s">
        <v>506</v>
      </c>
      <c r="B178" s="16" t="s">
        <v>129</v>
      </c>
      <c r="C178" s="16">
        <v>100</v>
      </c>
      <c r="D178" s="35">
        <f>1009106.04+148930.89+10000</f>
        <v>1168036.9300000002</v>
      </c>
    </row>
    <row r="179" spans="1:4" ht="96" customHeight="1">
      <c r="A179" s="34" t="s">
        <v>583</v>
      </c>
      <c r="B179" s="16" t="s">
        <v>129</v>
      </c>
      <c r="C179" s="16">
        <v>200</v>
      </c>
      <c r="D179" s="35">
        <f>182420+30000-69606.25</f>
        <v>142813.75</v>
      </c>
    </row>
    <row r="180" spans="1:4" ht="56.25">
      <c r="A180" s="34" t="s">
        <v>290</v>
      </c>
      <c r="B180" s="16" t="s">
        <v>129</v>
      </c>
      <c r="C180" s="16">
        <v>800</v>
      </c>
      <c r="D180" s="35">
        <f>1500</f>
        <v>1500</v>
      </c>
    </row>
    <row r="181" spans="1:6" s="8" customFormat="1" ht="63">
      <c r="A181" s="41" t="s">
        <v>403</v>
      </c>
      <c r="B181" s="42" t="s">
        <v>130</v>
      </c>
      <c r="C181" s="42"/>
      <c r="D181" s="43">
        <f>D182</f>
        <v>227900</v>
      </c>
      <c r="F181" s="19"/>
    </row>
    <row r="182" spans="1:6" s="4" customFormat="1" ht="63.75" customHeight="1">
      <c r="A182" s="44" t="s">
        <v>404</v>
      </c>
      <c r="B182" s="45" t="s">
        <v>131</v>
      </c>
      <c r="C182" s="45"/>
      <c r="D182" s="46">
        <f>SUM(D183:D185)</f>
        <v>227900</v>
      </c>
      <c r="F182" s="20"/>
    </row>
    <row r="183" spans="1:4" ht="98.25" customHeight="1">
      <c r="A183" s="34" t="s">
        <v>319</v>
      </c>
      <c r="B183" s="16" t="s">
        <v>132</v>
      </c>
      <c r="C183" s="16">
        <v>200</v>
      </c>
      <c r="D183" s="35">
        <f>18800</f>
        <v>18800</v>
      </c>
    </row>
    <row r="184" spans="1:4" ht="98.25" customHeight="1">
      <c r="A184" s="34" t="s">
        <v>320</v>
      </c>
      <c r="B184" s="16" t="s">
        <v>133</v>
      </c>
      <c r="C184" s="16">
        <v>200</v>
      </c>
      <c r="D184" s="35">
        <f>4300</f>
        <v>4300</v>
      </c>
    </row>
    <row r="185" spans="1:4" ht="109.5" customHeight="1">
      <c r="A185" s="34" t="s">
        <v>405</v>
      </c>
      <c r="B185" s="16" t="s">
        <v>134</v>
      </c>
      <c r="C185" s="16">
        <v>200</v>
      </c>
      <c r="D185" s="35">
        <f>114800+190000-100000</f>
        <v>204800</v>
      </c>
    </row>
    <row r="186" spans="1:6" s="8" customFormat="1" ht="18.75">
      <c r="A186" s="41" t="s">
        <v>136</v>
      </c>
      <c r="B186" s="42" t="s">
        <v>135</v>
      </c>
      <c r="C186" s="42"/>
      <c r="D186" s="43">
        <f>D187</f>
        <v>20000</v>
      </c>
      <c r="F186" s="19"/>
    </row>
    <row r="187" spans="1:6" s="4" customFormat="1" ht="37.5">
      <c r="A187" s="44" t="s">
        <v>138</v>
      </c>
      <c r="B187" s="45" t="s">
        <v>137</v>
      </c>
      <c r="C187" s="45"/>
      <c r="D187" s="46">
        <f>SUM(D188:D189)</f>
        <v>20000</v>
      </c>
      <c r="F187" s="20"/>
    </row>
    <row r="188" spans="1:4" ht="62.25" customHeight="1">
      <c r="A188" s="34" t="s">
        <v>321</v>
      </c>
      <c r="B188" s="16" t="s">
        <v>139</v>
      </c>
      <c r="C188" s="16">
        <v>200</v>
      </c>
      <c r="D188" s="35">
        <f>10000</f>
        <v>10000</v>
      </c>
    </row>
    <row r="189" spans="1:4" ht="62.25" customHeight="1">
      <c r="A189" s="34" t="s">
        <v>322</v>
      </c>
      <c r="B189" s="16" t="s">
        <v>140</v>
      </c>
      <c r="C189" s="16">
        <v>200</v>
      </c>
      <c r="D189" s="35">
        <f>10000</f>
        <v>10000</v>
      </c>
    </row>
    <row r="190" spans="1:6" s="8" customFormat="1" ht="69.75" customHeight="1">
      <c r="A190" s="41" t="s">
        <v>584</v>
      </c>
      <c r="B190" s="42" t="s">
        <v>141</v>
      </c>
      <c r="C190" s="42"/>
      <c r="D190" s="43">
        <f>D191</f>
        <v>330400</v>
      </c>
      <c r="F190" s="19"/>
    </row>
    <row r="191" spans="1:6" s="4" customFormat="1" ht="88.5" customHeight="1">
      <c r="A191" s="44" t="s">
        <v>585</v>
      </c>
      <c r="B191" s="45" t="s">
        <v>142</v>
      </c>
      <c r="C191" s="45"/>
      <c r="D191" s="46">
        <f>SUM(D192:D194)</f>
        <v>330400</v>
      </c>
      <c r="F191" s="20"/>
    </row>
    <row r="192" spans="1:4" ht="113.25" customHeight="1">
      <c r="A192" s="34" t="s">
        <v>586</v>
      </c>
      <c r="B192" s="16" t="s">
        <v>143</v>
      </c>
      <c r="C192" s="16">
        <v>200</v>
      </c>
      <c r="D192" s="35">
        <f>190300-20000-5000-15300-15300</f>
        <v>134700</v>
      </c>
    </row>
    <row r="193" spans="1:4" ht="79.5" customHeight="1">
      <c r="A193" s="34" t="s">
        <v>278</v>
      </c>
      <c r="B193" s="16" t="s">
        <v>143</v>
      </c>
      <c r="C193" s="16">
        <v>600</v>
      </c>
      <c r="D193" s="35">
        <f>190700</f>
        <v>190700</v>
      </c>
    </row>
    <row r="194" spans="1:4" ht="74.25" customHeight="1">
      <c r="A194" s="34" t="s">
        <v>418</v>
      </c>
      <c r="B194" s="16" t="s">
        <v>143</v>
      </c>
      <c r="C194" s="16">
        <v>800</v>
      </c>
      <c r="D194" s="35">
        <v>5000</v>
      </c>
    </row>
    <row r="195" spans="1:6" s="8" customFormat="1" ht="63">
      <c r="A195" s="41" t="s">
        <v>406</v>
      </c>
      <c r="B195" s="42" t="s">
        <v>144</v>
      </c>
      <c r="C195" s="42"/>
      <c r="D195" s="43">
        <f>D196</f>
        <v>345000</v>
      </c>
      <c r="F195" s="19"/>
    </row>
    <row r="196" spans="1:6" s="4" customFormat="1" ht="63">
      <c r="A196" s="44" t="s">
        <v>407</v>
      </c>
      <c r="B196" s="45" t="s">
        <v>145</v>
      </c>
      <c r="C196" s="45"/>
      <c r="D196" s="46">
        <f>SUM(D197:D200)</f>
        <v>345000</v>
      </c>
      <c r="F196" s="20"/>
    </row>
    <row r="197" spans="1:4" ht="88.5" customHeight="1">
      <c r="A197" s="34" t="s">
        <v>507</v>
      </c>
      <c r="B197" s="16" t="s">
        <v>146</v>
      </c>
      <c r="C197" s="16">
        <v>200</v>
      </c>
      <c r="D197" s="35">
        <f>50000+51000+300000-100000-20000</f>
        <v>281000</v>
      </c>
    </row>
    <row r="198" spans="1:4" ht="12" customHeight="1" hidden="1">
      <c r="A198" s="34" t="s">
        <v>279</v>
      </c>
      <c r="B198" s="16" t="s">
        <v>146</v>
      </c>
      <c r="C198" s="16">
        <v>600</v>
      </c>
      <c r="D198" s="35"/>
    </row>
    <row r="199" spans="1:4" ht="67.5" customHeight="1">
      <c r="A199" s="34" t="s">
        <v>508</v>
      </c>
      <c r="B199" s="16" t="s">
        <v>146</v>
      </c>
      <c r="C199" s="16">
        <v>800</v>
      </c>
      <c r="D199" s="35">
        <v>20000</v>
      </c>
    </row>
    <row r="200" spans="1:4" ht="99" customHeight="1">
      <c r="A200" s="34" t="s">
        <v>280</v>
      </c>
      <c r="B200" s="16" t="s">
        <v>147</v>
      </c>
      <c r="C200" s="16">
        <v>600</v>
      </c>
      <c r="D200" s="35">
        <f>44000</f>
        <v>44000</v>
      </c>
    </row>
    <row r="201" spans="1:6" s="8" customFormat="1" ht="50.25">
      <c r="A201" s="41" t="s">
        <v>356</v>
      </c>
      <c r="B201" s="42" t="s">
        <v>148</v>
      </c>
      <c r="C201" s="42"/>
      <c r="D201" s="43">
        <f>D202</f>
        <v>0</v>
      </c>
      <c r="F201" s="19"/>
    </row>
    <row r="202" spans="1:6" s="4" customFormat="1" ht="50.25">
      <c r="A202" s="44" t="s">
        <v>357</v>
      </c>
      <c r="B202" s="45" t="s">
        <v>149</v>
      </c>
      <c r="C202" s="45"/>
      <c r="D202" s="46">
        <f>SUM(D203:D205)</f>
        <v>0</v>
      </c>
      <c r="F202" s="20"/>
    </row>
    <row r="203" spans="1:4" ht="95.25" customHeight="1">
      <c r="A203" s="34" t="s">
        <v>358</v>
      </c>
      <c r="B203" s="16" t="s">
        <v>150</v>
      </c>
      <c r="C203" s="16">
        <v>200</v>
      </c>
      <c r="D203" s="35">
        <f>20000-20000</f>
        <v>0</v>
      </c>
    </row>
    <row r="204" spans="1:4" ht="98.25" customHeight="1">
      <c r="A204" s="34" t="s">
        <v>359</v>
      </c>
      <c r="B204" s="16" t="s">
        <v>151</v>
      </c>
      <c r="C204" s="16">
        <v>200</v>
      </c>
      <c r="D204" s="35">
        <f>70000+684700-754700</f>
        <v>0</v>
      </c>
    </row>
    <row r="205" spans="1:4" ht="0.75" customHeight="1" hidden="1">
      <c r="A205" s="34" t="s">
        <v>281</v>
      </c>
      <c r="B205" s="16" t="s">
        <v>151</v>
      </c>
      <c r="C205" s="16">
        <v>600</v>
      </c>
      <c r="D205" s="35"/>
    </row>
    <row r="206" spans="1:6" s="8" customFormat="1" ht="75" customHeight="1">
      <c r="A206" s="41" t="s">
        <v>360</v>
      </c>
      <c r="B206" s="42" t="s">
        <v>152</v>
      </c>
      <c r="C206" s="42"/>
      <c r="D206" s="43">
        <f>D207</f>
        <v>0</v>
      </c>
      <c r="F206" s="19"/>
    </row>
    <row r="207" spans="1:6" s="4" customFormat="1" ht="73.5" customHeight="1">
      <c r="A207" s="44" t="s">
        <v>361</v>
      </c>
      <c r="B207" s="45" t="s">
        <v>153</v>
      </c>
      <c r="C207" s="45"/>
      <c r="D207" s="46">
        <f>D208</f>
        <v>0</v>
      </c>
      <c r="F207" s="20"/>
    </row>
    <row r="208" spans="1:4" ht="144.75" customHeight="1">
      <c r="A208" s="34" t="s">
        <v>362</v>
      </c>
      <c r="B208" s="16" t="s">
        <v>154</v>
      </c>
      <c r="C208" s="16">
        <v>600</v>
      </c>
      <c r="D208" s="35">
        <f>150000-150000</f>
        <v>0</v>
      </c>
    </row>
    <row r="209" spans="1:6" s="8" customFormat="1" ht="81.75">
      <c r="A209" s="41" t="s">
        <v>509</v>
      </c>
      <c r="B209" s="42" t="s">
        <v>155</v>
      </c>
      <c r="C209" s="42"/>
      <c r="D209" s="43">
        <f>D210+D220+D224</f>
        <v>653600</v>
      </c>
      <c r="F209" s="19"/>
    </row>
    <row r="210" spans="1:6" s="8" customFormat="1" ht="50.25">
      <c r="A210" s="41" t="s">
        <v>363</v>
      </c>
      <c r="B210" s="42" t="s">
        <v>156</v>
      </c>
      <c r="C210" s="42"/>
      <c r="D210" s="43">
        <f>D211+D216+D218</f>
        <v>100000</v>
      </c>
      <c r="F210" s="19"/>
    </row>
    <row r="211" spans="1:6" s="4" customFormat="1" ht="55.5" customHeight="1">
      <c r="A211" s="44" t="s">
        <v>364</v>
      </c>
      <c r="B211" s="45" t="s">
        <v>157</v>
      </c>
      <c r="C211" s="45"/>
      <c r="D211" s="46">
        <f>SUM(D212:D215)</f>
        <v>90000</v>
      </c>
      <c r="F211" s="20"/>
    </row>
    <row r="212" spans="1:4" ht="135" customHeight="1">
      <c r="A212" s="34" t="s">
        <v>291</v>
      </c>
      <c r="B212" s="16" t="s">
        <v>158</v>
      </c>
      <c r="C212" s="16">
        <v>800</v>
      </c>
      <c r="D212" s="35">
        <f>20000</f>
        <v>20000</v>
      </c>
    </row>
    <row r="213" spans="1:4" ht="102" customHeight="1">
      <c r="A213" s="34" t="s">
        <v>292</v>
      </c>
      <c r="B213" s="16" t="s">
        <v>159</v>
      </c>
      <c r="C213" s="16">
        <v>800</v>
      </c>
      <c r="D213" s="35">
        <f>50000-5000</f>
        <v>45000</v>
      </c>
    </row>
    <row r="214" spans="1:4" ht="117" customHeight="1">
      <c r="A214" s="34" t="s">
        <v>293</v>
      </c>
      <c r="B214" s="16" t="s">
        <v>160</v>
      </c>
      <c r="C214" s="16">
        <v>800</v>
      </c>
      <c r="D214" s="35">
        <f>30000-5000</f>
        <v>25000</v>
      </c>
    </row>
    <row r="215" spans="1:4" ht="126.75" customHeight="1">
      <c r="A215" s="34" t="s">
        <v>365</v>
      </c>
      <c r="B215" s="16" t="s">
        <v>161</v>
      </c>
      <c r="C215" s="16">
        <v>800</v>
      </c>
      <c r="D215" s="35">
        <f>45000-45000</f>
        <v>0</v>
      </c>
    </row>
    <row r="216" spans="1:6" s="4" customFormat="1" ht="37.5">
      <c r="A216" s="48" t="s">
        <v>163</v>
      </c>
      <c r="B216" s="45" t="s">
        <v>162</v>
      </c>
      <c r="C216" s="45"/>
      <c r="D216" s="46">
        <f>D217</f>
        <v>5000</v>
      </c>
      <c r="F216" s="20"/>
    </row>
    <row r="217" spans="1:4" ht="56.25">
      <c r="A217" s="34" t="s">
        <v>306</v>
      </c>
      <c r="B217" s="16" t="s">
        <v>164</v>
      </c>
      <c r="C217" s="16">
        <v>800</v>
      </c>
      <c r="D217" s="35">
        <v>5000</v>
      </c>
    </row>
    <row r="218" spans="1:6" s="4" customFormat="1" ht="37.5">
      <c r="A218" s="44" t="s">
        <v>166</v>
      </c>
      <c r="B218" s="45" t="s">
        <v>165</v>
      </c>
      <c r="C218" s="45"/>
      <c r="D218" s="46">
        <f>D219</f>
        <v>5000</v>
      </c>
      <c r="F218" s="20"/>
    </row>
    <row r="219" spans="1:4" ht="56.25">
      <c r="A219" s="34" t="s">
        <v>307</v>
      </c>
      <c r="B219" s="16" t="s">
        <v>167</v>
      </c>
      <c r="C219" s="16">
        <v>800</v>
      </c>
      <c r="D219" s="35">
        <v>5000</v>
      </c>
    </row>
    <row r="220" spans="1:6" s="8" customFormat="1" ht="85.5" customHeight="1">
      <c r="A220" s="41" t="s">
        <v>453</v>
      </c>
      <c r="B220" s="42" t="s">
        <v>168</v>
      </c>
      <c r="C220" s="42"/>
      <c r="D220" s="43">
        <f>D221</f>
        <v>18360</v>
      </c>
      <c r="F220" s="19"/>
    </row>
    <row r="221" spans="1:6" s="4" customFormat="1" ht="63">
      <c r="A221" s="44" t="s">
        <v>454</v>
      </c>
      <c r="B221" s="45" t="s">
        <v>169</v>
      </c>
      <c r="C221" s="45"/>
      <c r="D221" s="46">
        <f>SUM(D222:D223)</f>
        <v>18360</v>
      </c>
      <c r="F221" s="20"/>
    </row>
    <row r="222" spans="1:4" ht="111.75" customHeight="1">
      <c r="A222" s="34" t="s">
        <v>455</v>
      </c>
      <c r="B222" s="16" t="s">
        <v>170</v>
      </c>
      <c r="C222" s="16">
        <v>200</v>
      </c>
      <c r="D222" s="35">
        <f>150000-25000-106640</f>
        <v>18360</v>
      </c>
    </row>
    <row r="223" spans="1:4" ht="153" customHeight="1">
      <c r="A223" s="34" t="s">
        <v>456</v>
      </c>
      <c r="B223" s="16" t="s">
        <v>264</v>
      </c>
      <c r="C223" s="16">
        <v>200</v>
      </c>
      <c r="D223" s="35">
        <f>100000-25000-75000</f>
        <v>0</v>
      </c>
    </row>
    <row r="224" spans="1:6" s="8" customFormat="1" ht="111" customHeight="1">
      <c r="A224" s="41" t="s">
        <v>510</v>
      </c>
      <c r="B224" s="42" t="s">
        <v>171</v>
      </c>
      <c r="C224" s="42"/>
      <c r="D224" s="43">
        <f>D225</f>
        <v>535240</v>
      </c>
      <c r="F224" s="19"/>
    </row>
    <row r="225" spans="1:6" s="4" customFormat="1" ht="70.5" customHeight="1">
      <c r="A225" s="44" t="s">
        <v>511</v>
      </c>
      <c r="B225" s="45" t="s">
        <v>172</v>
      </c>
      <c r="C225" s="45"/>
      <c r="D225" s="46">
        <f>SUM(D226:D228)</f>
        <v>535240</v>
      </c>
      <c r="F225" s="20"/>
    </row>
    <row r="226" spans="1:4" ht="73.5" customHeight="1">
      <c r="A226" s="34" t="s">
        <v>473</v>
      </c>
      <c r="B226" s="16" t="s">
        <v>173</v>
      </c>
      <c r="C226" s="16">
        <v>200</v>
      </c>
      <c r="D226" s="35">
        <f>50000+53000+25000</f>
        <v>128000</v>
      </c>
    </row>
    <row r="227" spans="1:4" ht="113.25" customHeight="1">
      <c r="A227" s="34" t="s">
        <v>512</v>
      </c>
      <c r="B227" s="16" t="s">
        <v>265</v>
      </c>
      <c r="C227" s="16">
        <v>200</v>
      </c>
      <c r="D227" s="35">
        <f>228600-50000+163640+50000</f>
        <v>392240</v>
      </c>
    </row>
    <row r="228" spans="1:4" ht="113.25" customHeight="1">
      <c r="A228" s="34" t="s">
        <v>457</v>
      </c>
      <c r="B228" s="16" t="s">
        <v>266</v>
      </c>
      <c r="C228" s="16">
        <v>200</v>
      </c>
      <c r="D228" s="35">
        <f>50000-35000</f>
        <v>15000</v>
      </c>
    </row>
    <row r="229" spans="1:4" ht="90" customHeight="1">
      <c r="A229" s="41" t="s">
        <v>366</v>
      </c>
      <c r="B229" s="42" t="s">
        <v>174</v>
      </c>
      <c r="C229" s="42"/>
      <c r="D229" s="43">
        <f>D230</f>
        <v>140000</v>
      </c>
    </row>
    <row r="230" spans="1:6" s="8" customFormat="1" ht="69">
      <c r="A230" s="41" t="s">
        <v>367</v>
      </c>
      <c r="B230" s="42" t="s">
        <v>175</v>
      </c>
      <c r="C230" s="42"/>
      <c r="D230" s="43">
        <f>D231</f>
        <v>140000</v>
      </c>
      <c r="F230" s="19"/>
    </row>
    <row r="231" spans="1:6" s="8" customFormat="1" ht="69">
      <c r="A231" s="44" t="s">
        <v>368</v>
      </c>
      <c r="B231" s="45" t="s">
        <v>176</v>
      </c>
      <c r="C231" s="45"/>
      <c r="D231" s="46">
        <f>SUM(D232:D233)</f>
        <v>140000</v>
      </c>
      <c r="F231" s="19"/>
    </row>
    <row r="232" spans="1:6" s="4" customFormat="1" ht="114" customHeight="1">
      <c r="A232" s="34" t="s">
        <v>369</v>
      </c>
      <c r="B232" s="16" t="s">
        <v>177</v>
      </c>
      <c r="C232" s="16">
        <v>200</v>
      </c>
      <c r="D232" s="35">
        <f>140000-9433.1-130566.9</f>
        <v>0</v>
      </c>
      <c r="F232" s="20"/>
    </row>
    <row r="233" spans="1:6" s="4" customFormat="1" ht="98.25" customHeight="1">
      <c r="A233" s="34" t="s">
        <v>311</v>
      </c>
      <c r="B233" s="16" t="s">
        <v>342</v>
      </c>
      <c r="C233" s="16">
        <v>600</v>
      </c>
      <c r="D233" s="35">
        <v>140000</v>
      </c>
      <c r="F233" s="20"/>
    </row>
    <row r="234" spans="1:4" ht="94.5" customHeight="1">
      <c r="A234" s="50" t="s">
        <v>179</v>
      </c>
      <c r="B234" s="42" t="s">
        <v>178</v>
      </c>
      <c r="C234" s="42"/>
      <c r="D234" s="43">
        <f>D235+D247</f>
        <v>244800</v>
      </c>
    </row>
    <row r="235" spans="1:4" ht="75">
      <c r="A235" s="41" t="s">
        <v>331</v>
      </c>
      <c r="B235" s="42" t="s">
        <v>180</v>
      </c>
      <c r="C235" s="42"/>
      <c r="D235" s="43">
        <f>D236+D240</f>
        <v>90000</v>
      </c>
    </row>
    <row r="236" spans="1:4" ht="60" customHeight="1">
      <c r="A236" s="44" t="s">
        <v>182</v>
      </c>
      <c r="B236" s="45" t="s">
        <v>181</v>
      </c>
      <c r="C236" s="45"/>
      <c r="D236" s="46">
        <f>SUM(D237:D239)</f>
        <v>20000</v>
      </c>
    </row>
    <row r="237" spans="1:6" s="8" customFormat="1" ht="98.25" customHeight="1">
      <c r="A237" s="34" t="s">
        <v>323</v>
      </c>
      <c r="B237" s="16" t="s">
        <v>183</v>
      </c>
      <c r="C237" s="16">
        <v>200</v>
      </c>
      <c r="D237" s="35">
        <f>10000</f>
        <v>10000</v>
      </c>
      <c r="F237" s="19"/>
    </row>
    <row r="238" spans="1:6" s="8" customFormat="1" ht="79.5" customHeight="1">
      <c r="A238" s="34" t="s">
        <v>282</v>
      </c>
      <c r="B238" s="16" t="s">
        <v>184</v>
      </c>
      <c r="C238" s="16">
        <v>600</v>
      </c>
      <c r="D238" s="35">
        <f>10000</f>
        <v>10000</v>
      </c>
      <c r="F238" s="19"/>
    </row>
    <row r="239" spans="1:6" s="4" customFormat="1" ht="78" customHeight="1">
      <c r="A239" s="34" t="s">
        <v>324</v>
      </c>
      <c r="B239" s="16" t="s">
        <v>185</v>
      </c>
      <c r="C239" s="16">
        <v>200</v>
      </c>
      <c r="D239" s="35">
        <f>20000-20000</f>
        <v>0</v>
      </c>
      <c r="F239" s="20"/>
    </row>
    <row r="240" spans="1:4" ht="60" customHeight="1">
      <c r="A240" s="44" t="s">
        <v>187</v>
      </c>
      <c r="B240" s="45" t="s">
        <v>186</v>
      </c>
      <c r="C240" s="45"/>
      <c r="D240" s="46">
        <f>SUM(D241:D246)</f>
        <v>70000</v>
      </c>
    </row>
    <row r="241" spans="1:4" ht="84.75" customHeight="1">
      <c r="A241" s="34" t="s">
        <v>343</v>
      </c>
      <c r="B241" s="16" t="s">
        <v>188</v>
      </c>
      <c r="C241" s="16">
        <v>200</v>
      </c>
      <c r="D241" s="35">
        <v>20000</v>
      </c>
    </row>
    <row r="242" spans="1:4" ht="79.5" customHeight="1">
      <c r="A242" s="34" t="s">
        <v>283</v>
      </c>
      <c r="B242" s="16" t="s">
        <v>188</v>
      </c>
      <c r="C242" s="16">
        <v>600</v>
      </c>
      <c r="D242" s="35">
        <v>10000</v>
      </c>
    </row>
    <row r="243" spans="1:4" ht="81" customHeight="1">
      <c r="A243" s="34" t="s">
        <v>325</v>
      </c>
      <c r="B243" s="16" t="s">
        <v>189</v>
      </c>
      <c r="C243" s="16">
        <v>200</v>
      </c>
      <c r="D243" s="35">
        <f>10000</f>
        <v>10000</v>
      </c>
    </row>
    <row r="244" spans="1:4" ht="81" customHeight="1">
      <c r="A244" s="34" t="s">
        <v>330</v>
      </c>
      <c r="B244" s="16" t="s">
        <v>189</v>
      </c>
      <c r="C244" s="16">
        <v>600</v>
      </c>
      <c r="D244" s="35">
        <f>20000</f>
        <v>20000</v>
      </c>
    </row>
    <row r="245" spans="1:6" s="4" customFormat="1" ht="81.75" customHeight="1">
      <c r="A245" s="34" t="s">
        <v>284</v>
      </c>
      <c r="B245" s="16" t="s">
        <v>190</v>
      </c>
      <c r="C245" s="16">
        <v>600</v>
      </c>
      <c r="D245" s="35">
        <f>10000</f>
        <v>10000</v>
      </c>
      <c r="F245" s="20"/>
    </row>
    <row r="246" spans="1:4" ht="99" customHeight="1">
      <c r="A246" s="34" t="s">
        <v>285</v>
      </c>
      <c r="B246" s="16" t="s">
        <v>191</v>
      </c>
      <c r="C246" s="16">
        <v>600</v>
      </c>
      <c r="D246" s="35">
        <f>10000-10000</f>
        <v>0</v>
      </c>
    </row>
    <row r="247" spans="1:4" ht="138.75" customHeight="1">
      <c r="A247" s="41" t="s">
        <v>193</v>
      </c>
      <c r="B247" s="42" t="s">
        <v>192</v>
      </c>
      <c r="C247" s="42"/>
      <c r="D247" s="43">
        <f>D248</f>
        <v>154800</v>
      </c>
    </row>
    <row r="248" spans="1:4" ht="63" customHeight="1">
      <c r="A248" s="44" t="s">
        <v>195</v>
      </c>
      <c r="B248" s="45" t="s">
        <v>194</v>
      </c>
      <c r="C248" s="45"/>
      <c r="D248" s="46">
        <f>D249</f>
        <v>154800</v>
      </c>
    </row>
    <row r="249" spans="1:4" ht="138" customHeight="1">
      <c r="A249" s="34" t="s">
        <v>286</v>
      </c>
      <c r="B249" s="16" t="s">
        <v>196</v>
      </c>
      <c r="C249" s="16">
        <v>600</v>
      </c>
      <c r="D249" s="35">
        <f>154800</f>
        <v>154800</v>
      </c>
    </row>
    <row r="250" spans="1:6" s="8" customFormat="1" ht="120.75" customHeight="1">
      <c r="A250" s="41" t="s">
        <v>587</v>
      </c>
      <c r="B250" s="42" t="s">
        <v>197</v>
      </c>
      <c r="C250" s="42"/>
      <c r="D250" s="43">
        <f>D251+D271+D275</f>
        <v>41784030.24000001</v>
      </c>
      <c r="F250" s="19"/>
    </row>
    <row r="251" spans="1:6" s="4" customFormat="1" ht="123.75" customHeight="1">
      <c r="A251" s="41" t="s">
        <v>588</v>
      </c>
      <c r="B251" s="42" t="s">
        <v>198</v>
      </c>
      <c r="C251" s="42"/>
      <c r="D251" s="43">
        <f>D252+D254+D259+D263+D267</f>
        <v>38112967.54000001</v>
      </c>
      <c r="F251" s="20"/>
    </row>
    <row r="252" spans="1:4" ht="56.25">
      <c r="A252" s="44" t="s">
        <v>200</v>
      </c>
      <c r="B252" s="45" t="s">
        <v>199</v>
      </c>
      <c r="C252" s="45"/>
      <c r="D252" s="46">
        <f>D253</f>
        <v>1001805</v>
      </c>
    </row>
    <row r="253" spans="1:4" ht="119.25" customHeight="1">
      <c r="A253" s="34" t="s">
        <v>270</v>
      </c>
      <c r="B253" s="16" t="s">
        <v>201</v>
      </c>
      <c r="C253" s="16">
        <v>100</v>
      </c>
      <c r="D253" s="35">
        <v>1001805</v>
      </c>
    </row>
    <row r="254" spans="1:6" s="8" customFormat="1" ht="121.5" customHeight="1">
      <c r="A254" s="44" t="s">
        <v>589</v>
      </c>
      <c r="B254" s="45" t="s">
        <v>202</v>
      </c>
      <c r="C254" s="45"/>
      <c r="D254" s="46">
        <f>SUM(D255:D258)</f>
        <v>36599287.50000001</v>
      </c>
      <c r="F254" s="19"/>
    </row>
    <row r="255" spans="1:6" s="4" customFormat="1" ht="219.75">
      <c r="A255" s="34" t="s">
        <v>590</v>
      </c>
      <c r="B255" s="16" t="s">
        <v>203</v>
      </c>
      <c r="C255" s="16">
        <v>100</v>
      </c>
      <c r="D255" s="35">
        <f>19782279.22+5259065.62+4531350.36+2211600+109433.1+648741.03-57639-200+17200-200+10124.35+8436.96+74209.67-160542-70400-108299.63</f>
        <v>32255159.680000007</v>
      </c>
      <c r="F255" s="20"/>
    </row>
    <row r="256" spans="1:4" ht="138.75" customHeight="1">
      <c r="A256" s="34" t="s">
        <v>591</v>
      </c>
      <c r="B256" s="16" t="s">
        <v>203</v>
      </c>
      <c r="C256" s="16">
        <v>200</v>
      </c>
      <c r="D256" s="35">
        <f>1816110+597442+137900+1920600+50000-542600-99500+73900-10124.35-8436.96+15000+23000+102992+84345.13</f>
        <v>4160627.82</v>
      </c>
    </row>
    <row r="257" spans="1:6" s="8" customFormat="1" ht="102.75" customHeight="1">
      <c r="A257" s="23" t="s">
        <v>592</v>
      </c>
      <c r="B257" s="5" t="s">
        <v>203</v>
      </c>
      <c r="C257" s="5">
        <v>800</v>
      </c>
      <c r="D257" s="11">
        <f>163100+16000+4200+200+200+10800-11000</f>
        <v>183500</v>
      </c>
      <c r="F257" s="19"/>
    </row>
    <row r="258" spans="1:6" s="8" customFormat="1" ht="120.75" customHeight="1">
      <c r="A258" s="23" t="s">
        <v>419</v>
      </c>
      <c r="B258" s="5" t="s">
        <v>204</v>
      </c>
      <c r="C258" s="5">
        <v>200</v>
      </c>
      <c r="D258" s="11">
        <f>8000-8000</f>
        <v>0</v>
      </c>
      <c r="F258" s="19"/>
    </row>
    <row r="259" spans="1:6" s="4" customFormat="1" ht="75" customHeight="1">
      <c r="A259" s="22" t="s">
        <v>408</v>
      </c>
      <c r="B259" s="6" t="s">
        <v>205</v>
      </c>
      <c r="C259" s="6"/>
      <c r="D259" s="10">
        <f>SUM(D260:D262)</f>
        <v>0</v>
      </c>
      <c r="F259" s="20"/>
    </row>
    <row r="260" spans="1:4" ht="129" customHeight="1">
      <c r="A260" s="23" t="s">
        <v>409</v>
      </c>
      <c r="B260" s="5" t="s">
        <v>206</v>
      </c>
      <c r="C260" s="5">
        <v>200</v>
      </c>
      <c r="D260" s="11">
        <f>8000-8000</f>
        <v>0</v>
      </c>
    </row>
    <row r="261" spans="1:6" s="4" customFormat="1" ht="130.5" customHeight="1">
      <c r="A261" s="27" t="s">
        <v>410</v>
      </c>
      <c r="B261" s="5" t="s">
        <v>263</v>
      </c>
      <c r="C261" s="5">
        <v>200</v>
      </c>
      <c r="D261" s="11">
        <f>30000+8000+8000-46000</f>
        <v>0</v>
      </c>
      <c r="F261" s="20"/>
    </row>
    <row r="262" spans="1:4" ht="117" customHeight="1">
      <c r="A262" s="23" t="s">
        <v>411</v>
      </c>
      <c r="B262" s="5" t="s">
        <v>207</v>
      </c>
      <c r="C262" s="5">
        <v>200</v>
      </c>
      <c r="D262" s="11">
        <f>1500-1500</f>
        <v>0</v>
      </c>
    </row>
    <row r="263" spans="1:4" ht="64.5" customHeight="1">
      <c r="A263" s="22" t="s">
        <v>209</v>
      </c>
      <c r="B263" s="6" t="s">
        <v>208</v>
      </c>
      <c r="C263" s="6"/>
      <c r="D263" s="10">
        <f>SUM(D264:D266)</f>
        <v>423024</v>
      </c>
    </row>
    <row r="264" spans="1:4" ht="98.25" customHeight="1">
      <c r="A264" s="23" t="s">
        <v>337</v>
      </c>
      <c r="B264" s="5" t="s">
        <v>210</v>
      </c>
      <c r="C264" s="5">
        <v>200</v>
      </c>
      <c r="D264" s="11">
        <v>12044</v>
      </c>
    </row>
    <row r="265" spans="1:4" ht="151.5" customHeight="1">
      <c r="A265" s="23" t="s">
        <v>338</v>
      </c>
      <c r="B265" s="5" t="s">
        <v>211</v>
      </c>
      <c r="C265" s="5">
        <v>100</v>
      </c>
      <c r="D265" s="11">
        <v>346085</v>
      </c>
    </row>
    <row r="266" spans="1:4" ht="99" customHeight="1">
      <c r="A266" s="23" t="s">
        <v>339</v>
      </c>
      <c r="B266" s="5" t="s">
        <v>211</v>
      </c>
      <c r="C266" s="5">
        <v>200</v>
      </c>
      <c r="D266" s="11">
        <v>64895</v>
      </c>
    </row>
    <row r="267" spans="1:4" ht="88.5" customHeight="1">
      <c r="A267" s="28" t="s">
        <v>593</v>
      </c>
      <c r="B267" s="29" t="s">
        <v>298</v>
      </c>
      <c r="C267" s="6"/>
      <c r="D267" s="10">
        <f>SUM(D268:D270)</f>
        <v>88851.04000000001</v>
      </c>
    </row>
    <row r="268" spans="1:4" ht="154.5" customHeight="1">
      <c r="A268" s="17" t="s">
        <v>594</v>
      </c>
      <c r="B268" s="30" t="s">
        <v>299</v>
      </c>
      <c r="C268" s="5">
        <v>200</v>
      </c>
      <c r="D268" s="11">
        <f>20000+11750.04-18000-377</f>
        <v>13373.04</v>
      </c>
    </row>
    <row r="269" spans="1:4" ht="150" customHeight="1">
      <c r="A269" s="28" t="s">
        <v>513</v>
      </c>
      <c r="B269" s="30" t="s">
        <v>412</v>
      </c>
      <c r="C269" s="5">
        <v>200</v>
      </c>
      <c r="D269" s="11">
        <f>104000-28522</f>
        <v>75478</v>
      </c>
    </row>
    <row r="270" spans="1:4" ht="150" customHeight="1">
      <c r="A270" s="17" t="s">
        <v>514</v>
      </c>
      <c r="B270" s="30" t="s">
        <v>413</v>
      </c>
      <c r="C270" s="5">
        <v>200</v>
      </c>
      <c r="D270" s="11">
        <f>71500-71500</f>
        <v>0</v>
      </c>
    </row>
    <row r="271" spans="1:4" ht="108.75" customHeight="1">
      <c r="A271" s="21" t="s">
        <v>515</v>
      </c>
      <c r="B271" s="7" t="s">
        <v>212</v>
      </c>
      <c r="C271" s="7"/>
      <c r="D271" s="9">
        <f>D272</f>
        <v>3427504.7</v>
      </c>
    </row>
    <row r="272" spans="1:4" ht="109.5" customHeight="1">
      <c r="A272" s="22" t="s">
        <v>516</v>
      </c>
      <c r="B272" s="6" t="s">
        <v>213</v>
      </c>
      <c r="C272" s="6"/>
      <c r="D272" s="10">
        <f>SUM(D273:D274)</f>
        <v>3427504.7</v>
      </c>
    </row>
    <row r="273" spans="1:6" s="4" customFormat="1" ht="154.5" customHeight="1">
      <c r="A273" s="23" t="s">
        <v>517</v>
      </c>
      <c r="B273" s="5" t="s">
        <v>214</v>
      </c>
      <c r="C273" s="5">
        <v>600</v>
      </c>
      <c r="D273" s="11">
        <f>2668689.7+103587+83728</f>
        <v>2856004.7</v>
      </c>
      <c r="F273" s="20"/>
    </row>
    <row r="274" spans="1:6" s="4" customFormat="1" ht="163.5" customHeight="1">
      <c r="A274" s="23" t="s">
        <v>519</v>
      </c>
      <c r="B274" s="5" t="s">
        <v>518</v>
      </c>
      <c r="C274" s="5">
        <v>600</v>
      </c>
      <c r="D274" s="11">
        <v>571500</v>
      </c>
      <c r="F274" s="20"/>
    </row>
    <row r="275" spans="1:4" ht="108" customHeight="1">
      <c r="A275" s="21" t="s">
        <v>595</v>
      </c>
      <c r="B275" s="7" t="s">
        <v>215</v>
      </c>
      <c r="C275" s="7"/>
      <c r="D275" s="9">
        <f>D276+D278</f>
        <v>243558</v>
      </c>
    </row>
    <row r="276" spans="1:6" s="4" customFormat="1" ht="59.25" customHeight="1">
      <c r="A276" s="22" t="s">
        <v>420</v>
      </c>
      <c r="B276" s="6" t="s">
        <v>216</v>
      </c>
      <c r="C276" s="6"/>
      <c r="D276" s="10">
        <f>D277</f>
        <v>0</v>
      </c>
      <c r="F276" s="20"/>
    </row>
    <row r="277" spans="1:4" ht="117" customHeight="1">
      <c r="A277" s="23" t="s">
        <v>421</v>
      </c>
      <c r="B277" s="5" t="s">
        <v>217</v>
      </c>
      <c r="C277" s="5">
        <v>200</v>
      </c>
      <c r="D277" s="11">
        <f>9200-9200</f>
        <v>0</v>
      </c>
    </row>
    <row r="278" spans="1:4" ht="101.25" customHeight="1">
      <c r="A278" s="28" t="s">
        <v>596</v>
      </c>
      <c r="B278" s="29" t="s">
        <v>345</v>
      </c>
      <c r="C278" s="5"/>
      <c r="D278" s="10">
        <f>D279+D280</f>
        <v>243558</v>
      </c>
    </row>
    <row r="279" spans="1:4" ht="99" customHeight="1">
      <c r="A279" s="17" t="s">
        <v>597</v>
      </c>
      <c r="B279" s="30" t="s">
        <v>346</v>
      </c>
      <c r="C279" s="5">
        <v>200</v>
      </c>
      <c r="D279" s="11">
        <f>90350+26100+26900-7082-4000</f>
        <v>132268</v>
      </c>
    </row>
    <row r="280" spans="1:4" ht="100.5" customHeight="1">
      <c r="A280" s="17" t="s">
        <v>598</v>
      </c>
      <c r="B280" s="30" t="s">
        <v>520</v>
      </c>
      <c r="C280" s="5">
        <v>200</v>
      </c>
      <c r="D280" s="11">
        <f>113353.96-2063.96</f>
        <v>111290</v>
      </c>
    </row>
    <row r="281" spans="1:4" ht="93" customHeight="1">
      <c r="A281" s="21" t="s">
        <v>599</v>
      </c>
      <c r="B281" s="7" t="s">
        <v>218</v>
      </c>
      <c r="C281" s="7"/>
      <c r="D281" s="9">
        <f>D282+D286</f>
        <v>84400</v>
      </c>
    </row>
    <row r="282" spans="1:4" ht="77.25" customHeight="1">
      <c r="A282" s="21" t="s">
        <v>600</v>
      </c>
      <c r="B282" s="7" t="s">
        <v>219</v>
      </c>
      <c r="C282" s="7"/>
      <c r="D282" s="9">
        <f>D283</f>
        <v>59400</v>
      </c>
    </row>
    <row r="283" spans="1:4" ht="63.75" customHeight="1">
      <c r="A283" s="22" t="s">
        <v>601</v>
      </c>
      <c r="B283" s="6" t="s">
        <v>220</v>
      </c>
      <c r="C283" s="6"/>
      <c r="D283" s="10">
        <f>SUM(D284:D285)</f>
        <v>59400</v>
      </c>
    </row>
    <row r="284" spans="1:4" ht="141" customHeight="1">
      <c r="A284" s="34" t="s">
        <v>602</v>
      </c>
      <c r="B284" s="16" t="s">
        <v>221</v>
      </c>
      <c r="C284" s="16">
        <v>200</v>
      </c>
      <c r="D284" s="35">
        <f>24400+30000-30000</f>
        <v>24400</v>
      </c>
    </row>
    <row r="285" spans="1:4" ht="144">
      <c r="A285" s="34" t="s">
        <v>482</v>
      </c>
      <c r="B285" s="16" t="s">
        <v>221</v>
      </c>
      <c r="C285" s="16">
        <v>600</v>
      </c>
      <c r="D285" s="35">
        <f>65000-30000</f>
        <v>35000</v>
      </c>
    </row>
    <row r="286" spans="1:6" s="4" customFormat="1" ht="45.75" customHeight="1">
      <c r="A286" s="21" t="s">
        <v>223</v>
      </c>
      <c r="B286" s="7" t="s">
        <v>222</v>
      </c>
      <c r="C286" s="7"/>
      <c r="D286" s="9">
        <f>D287</f>
        <v>25000</v>
      </c>
      <c r="F286" s="20"/>
    </row>
    <row r="287" spans="1:4" ht="43.5" customHeight="1">
      <c r="A287" s="22" t="s">
        <v>225</v>
      </c>
      <c r="B287" s="6" t="s">
        <v>224</v>
      </c>
      <c r="C287" s="6"/>
      <c r="D287" s="10">
        <f>SUM(D288:D291)</f>
        <v>25000</v>
      </c>
    </row>
    <row r="288" spans="1:6" s="8" customFormat="1" ht="136.5" customHeight="1">
      <c r="A288" s="23" t="s">
        <v>326</v>
      </c>
      <c r="B288" s="5" t="s">
        <v>226</v>
      </c>
      <c r="C288" s="5">
        <v>200</v>
      </c>
      <c r="D288" s="11">
        <f>10000</f>
        <v>10000</v>
      </c>
      <c r="F288" s="19"/>
    </row>
    <row r="289" spans="1:6" s="8" customFormat="1" ht="97.5" customHeight="1">
      <c r="A289" s="23" t="s">
        <v>327</v>
      </c>
      <c r="B289" s="5" t="s">
        <v>227</v>
      </c>
      <c r="C289" s="5">
        <v>200</v>
      </c>
      <c r="D289" s="11">
        <f>4000</f>
        <v>4000</v>
      </c>
      <c r="F289" s="19"/>
    </row>
    <row r="290" spans="1:6" s="4" customFormat="1" ht="96.75" customHeight="1">
      <c r="A290" s="23" t="s">
        <v>328</v>
      </c>
      <c r="B290" s="5" t="s">
        <v>228</v>
      </c>
      <c r="C290" s="5">
        <v>200</v>
      </c>
      <c r="D290" s="11">
        <f>5000</f>
        <v>5000</v>
      </c>
      <c r="F290" s="20"/>
    </row>
    <row r="291" spans="1:4" ht="117" customHeight="1">
      <c r="A291" s="23" t="s">
        <v>329</v>
      </c>
      <c r="B291" s="5" t="s">
        <v>229</v>
      </c>
      <c r="C291" s="5">
        <v>200</v>
      </c>
      <c r="D291" s="11">
        <f>6000</f>
        <v>6000</v>
      </c>
    </row>
    <row r="292" spans="1:4" ht="103.5" customHeight="1">
      <c r="A292" s="21" t="s">
        <v>494</v>
      </c>
      <c r="B292" s="7" t="s">
        <v>230</v>
      </c>
      <c r="C292" s="7"/>
      <c r="D292" s="9">
        <f>SUM(D293:D303)</f>
        <v>5455188.88</v>
      </c>
    </row>
    <row r="293" spans="1:6" s="8" customFormat="1" ht="146.25" customHeight="1">
      <c r="A293" s="23" t="s">
        <v>427</v>
      </c>
      <c r="B293" s="5" t="s">
        <v>231</v>
      </c>
      <c r="C293" s="5">
        <v>100</v>
      </c>
      <c r="D293" s="11">
        <f>1415873-9000+9000</f>
        <v>1415873</v>
      </c>
      <c r="F293" s="19"/>
    </row>
    <row r="294" spans="1:6" s="4" customFormat="1" ht="94.5" customHeight="1">
      <c r="A294" s="23" t="s">
        <v>458</v>
      </c>
      <c r="B294" s="5" t="s">
        <v>231</v>
      </c>
      <c r="C294" s="5">
        <v>200</v>
      </c>
      <c r="D294" s="11">
        <f>727800-133000</f>
        <v>594800</v>
      </c>
      <c r="F294" s="20"/>
    </row>
    <row r="295" spans="1:4" ht="75" customHeight="1">
      <c r="A295" s="23" t="s">
        <v>422</v>
      </c>
      <c r="B295" s="5" t="s">
        <v>231</v>
      </c>
      <c r="C295" s="5">
        <v>800</v>
      </c>
      <c r="D295" s="11">
        <f>8500+9000</f>
        <v>17500</v>
      </c>
    </row>
    <row r="296" spans="1:4" ht="150.75" customHeight="1">
      <c r="A296" s="23" t="s">
        <v>428</v>
      </c>
      <c r="B296" s="5" t="s">
        <v>232</v>
      </c>
      <c r="C296" s="5">
        <v>100</v>
      </c>
      <c r="D296" s="11">
        <f>139900-3000-47001-9000</f>
        <v>80899</v>
      </c>
    </row>
    <row r="297" spans="1:4" ht="163.5" customHeight="1">
      <c r="A297" s="23" t="s">
        <v>495</v>
      </c>
      <c r="B297" s="5" t="s">
        <v>233</v>
      </c>
      <c r="C297" s="5">
        <v>100</v>
      </c>
      <c r="D297" s="11">
        <f>1411734.22-107546.89</f>
        <v>1304187.33</v>
      </c>
    </row>
    <row r="298" spans="1:4" ht="97.5" customHeight="1">
      <c r="A298" s="23" t="s">
        <v>370</v>
      </c>
      <c r="B298" s="5" t="s">
        <v>233</v>
      </c>
      <c r="C298" s="5">
        <v>200</v>
      </c>
      <c r="D298" s="11">
        <f>241535-19500</f>
        <v>222035</v>
      </c>
    </row>
    <row r="299" spans="1:6" s="8" customFormat="1" ht="60" customHeight="1">
      <c r="A299" s="23" t="s">
        <v>294</v>
      </c>
      <c r="B299" s="5" t="s">
        <v>233</v>
      </c>
      <c r="C299" s="5">
        <v>800</v>
      </c>
      <c r="D299" s="11">
        <f>500</f>
        <v>500</v>
      </c>
      <c r="F299" s="19"/>
    </row>
    <row r="300" spans="1:4" ht="141.75" customHeight="1">
      <c r="A300" s="23" t="s">
        <v>271</v>
      </c>
      <c r="B300" s="5" t="s">
        <v>234</v>
      </c>
      <c r="C300" s="5">
        <v>100</v>
      </c>
      <c r="D300" s="11">
        <f>682800</f>
        <v>682800</v>
      </c>
    </row>
    <row r="301" spans="1:4" ht="117.75" customHeight="1">
      <c r="A301" s="24" t="s">
        <v>272</v>
      </c>
      <c r="B301" s="5" t="s">
        <v>262</v>
      </c>
      <c r="C301" s="5">
        <v>100</v>
      </c>
      <c r="D301" s="11">
        <f>1001805</f>
        <v>1001805</v>
      </c>
    </row>
    <row r="302" spans="1:4" ht="125.25">
      <c r="A302" s="23" t="s">
        <v>371</v>
      </c>
      <c r="B302" s="5" t="s">
        <v>235</v>
      </c>
      <c r="C302" s="5">
        <v>300</v>
      </c>
      <c r="D302" s="11">
        <f>3000-3000</f>
        <v>0</v>
      </c>
    </row>
    <row r="303" spans="1:4" ht="228.75" customHeight="1">
      <c r="A303" s="34" t="s">
        <v>378</v>
      </c>
      <c r="B303" s="5" t="s">
        <v>236</v>
      </c>
      <c r="C303" s="16">
        <v>100</v>
      </c>
      <c r="D303" s="11">
        <v>134789.55</v>
      </c>
    </row>
    <row r="304" spans="1:4" ht="147" customHeight="1">
      <c r="A304" s="21" t="s">
        <v>603</v>
      </c>
      <c r="B304" s="7" t="s">
        <v>237</v>
      </c>
      <c r="C304" s="7"/>
      <c r="D304" s="9">
        <f>SUM(D305:D342)</f>
        <v>10300990.58</v>
      </c>
    </row>
    <row r="305" spans="1:4" ht="83.25" customHeight="1">
      <c r="A305" s="23" t="s">
        <v>605</v>
      </c>
      <c r="B305" s="5" t="s">
        <v>238</v>
      </c>
      <c r="C305" s="5">
        <v>200</v>
      </c>
      <c r="D305" s="11">
        <f>-200000+289000+542600+877000+15625+120000+171585+69542-455478.77</f>
        <v>1429873.23</v>
      </c>
    </row>
    <row r="306" spans="1:4" ht="51.75" customHeight="1">
      <c r="A306" s="23" t="s">
        <v>604</v>
      </c>
      <c r="B306" s="5" t="s">
        <v>238</v>
      </c>
      <c r="C306" s="5">
        <v>800</v>
      </c>
      <c r="D306" s="11">
        <f>11000+16212.75+130800</f>
        <v>158012.75</v>
      </c>
    </row>
    <row r="307" spans="1:4" ht="203.25" customHeight="1">
      <c r="A307" s="23" t="s">
        <v>606</v>
      </c>
      <c r="B307" s="5" t="s">
        <v>372</v>
      </c>
      <c r="C307" s="5">
        <v>100</v>
      </c>
      <c r="D307" s="11">
        <f>298000-26900-50161.03-10092-10092</f>
        <v>200754.97</v>
      </c>
    </row>
    <row r="308" spans="1:4" ht="158.25" customHeight="1">
      <c r="A308" s="23" t="s">
        <v>374</v>
      </c>
      <c r="B308" s="5" t="s">
        <v>373</v>
      </c>
      <c r="C308" s="5">
        <v>200</v>
      </c>
      <c r="D308" s="11">
        <v>38800</v>
      </c>
    </row>
    <row r="309" spans="1:4" ht="132.75" customHeight="1">
      <c r="A309" s="52" t="s">
        <v>609</v>
      </c>
      <c r="B309" s="5" t="s">
        <v>607</v>
      </c>
      <c r="C309" s="5">
        <v>200</v>
      </c>
      <c r="D309" s="11">
        <v>127600</v>
      </c>
    </row>
    <row r="310" spans="1:4" ht="99" customHeight="1">
      <c r="A310" s="52" t="s">
        <v>610</v>
      </c>
      <c r="B310" s="5" t="s">
        <v>608</v>
      </c>
      <c r="C310" s="5">
        <v>200</v>
      </c>
      <c r="D310" s="11">
        <v>122400</v>
      </c>
    </row>
    <row r="311" spans="1:4" ht="108" customHeight="1">
      <c r="A311" s="34" t="s">
        <v>414</v>
      </c>
      <c r="B311" s="16" t="s">
        <v>415</v>
      </c>
      <c r="C311" s="16">
        <v>600</v>
      </c>
      <c r="D311" s="35">
        <v>5284.43</v>
      </c>
    </row>
    <row r="312" spans="1:4" ht="129.75" customHeight="1">
      <c r="A312" s="34" t="s">
        <v>435</v>
      </c>
      <c r="B312" s="16" t="s">
        <v>434</v>
      </c>
      <c r="C312" s="16">
        <v>600</v>
      </c>
      <c r="D312" s="35">
        <v>5625</v>
      </c>
    </row>
    <row r="313" spans="1:4" ht="156.75" customHeight="1">
      <c r="A313" s="23" t="s">
        <v>436</v>
      </c>
      <c r="B313" s="5" t="s">
        <v>437</v>
      </c>
      <c r="C313" s="5">
        <v>200</v>
      </c>
      <c r="D313" s="11">
        <v>36000</v>
      </c>
    </row>
    <row r="314" spans="1:4" ht="106.5" customHeight="1">
      <c r="A314" s="34" t="s">
        <v>459</v>
      </c>
      <c r="B314" s="16" t="s">
        <v>460</v>
      </c>
      <c r="C314" s="16">
        <v>600</v>
      </c>
      <c r="D314" s="35">
        <v>85597</v>
      </c>
    </row>
    <row r="315" spans="1:4" ht="123.75" customHeight="1">
      <c r="A315" s="23" t="s">
        <v>477</v>
      </c>
      <c r="B315" s="5" t="s">
        <v>476</v>
      </c>
      <c r="C315" s="5">
        <v>600</v>
      </c>
      <c r="D315" s="11">
        <v>52000</v>
      </c>
    </row>
    <row r="316" spans="1:4" ht="196.5" customHeight="1">
      <c r="A316" s="23" t="s">
        <v>611</v>
      </c>
      <c r="B316" s="5" t="s">
        <v>478</v>
      </c>
      <c r="C316" s="5">
        <v>200</v>
      </c>
      <c r="D316" s="11">
        <f>587445-54000+10</f>
        <v>533455</v>
      </c>
    </row>
    <row r="317" spans="1:4" ht="107.25" customHeight="1">
      <c r="A317" s="23" t="s">
        <v>484</v>
      </c>
      <c r="B317" s="5" t="s">
        <v>483</v>
      </c>
      <c r="C317" s="5">
        <v>600</v>
      </c>
      <c r="D317" s="11">
        <v>140000</v>
      </c>
    </row>
    <row r="318" spans="1:4" ht="160.5" customHeight="1">
      <c r="A318" s="23" t="s">
        <v>521</v>
      </c>
      <c r="B318" s="5" t="s">
        <v>485</v>
      </c>
      <c r="C318" s="5">
        <v>200</v>
      </c>
      <c r="D318" s="11">
        <f>85000+85000-85000</f>
        <v>85000</v>
      </c>
    </row>
    <row r="319" spans="1:4" ht="152.25" customHeight="1">
      <c r="A319" s="23" t="s">
        <v>522</v>
      </c>
      <c r="B319" s="5" t="s">
        <v>523</v>
      </c>
      <c r="C319" s="5">
        <v>200</v>
      </c>
      <c r="D319" s="11">
        <v>85000</v>
      </c>
    </row>
    <row r="320" spans="1:4" ht="151.5" customHeight="1">
      <c r="A320" s="34" t="s">
        <v>487</v>
      </c>
      <c r="B320" s="16" t="s">
        <v>486</v>
      </c>
      <c r="C320" s="16">
        <v>200</v>
      </c>
      <c r="D320" s="35">
        <v>86223</v>
      </c>
    </row>
    <row r="321" spans="1:4" ht="164.25" customHeight="1">
      <c r="A321" s="34" t="s">
        <v>489</v>
      </c>
      <c r="B321" s="16" t="s">
        <v>486</v>
      </c>
      <c r="C321" s="16">
        <v>600</v>
      </c>
      <c r="D321" s="35">
        <v>475777.6</v>
      </c>
    </row>
    <row r="322" spans="1:4" ht="164.25" customHeight="1">
      <c r="A322" s="23" t="s">
        <v>613</v>
      </c>
      <c r="B322" s="16" t="s">
        <v>612</v>
      </c>
      <c r="C322" s="16">
        <v>800</v>
      </c>
      <c r="D322" s="35">
        <v>7331.32</v>
      </c>
    </row>
    <row r="323" spans="1:4" ht="78.75" customHeight="1">
      <c r="A323" s="24" t="s">
        <v>340</v>
      </c>
      <c r="B323" s="5" t="s">
        <v>295</v>
      </c>
      <c r="C323" s="5">
        <v>500</v>
      </c>
      <c r="D323" s="11">
        <v>10600</v>
      </c>
    </row>
    <row r="324" spans="1:4" ht="120.75" customHeight="1">
      <c r="A324" s="24" t="s">
        <v>438</v>
      </c>
      <c r="B324" s="5" t="s">
        <v>375</v>
      </c>
      <c r="C324" s="5">
        <v>200</v>
      </c>
      <c r="D324" s="11">
        <f>779119-22905-86505</f>
        <v>669709</v>
      </c>
    </row>
    <row r="325" spans="1:4" ht="97.5" customHeight="1">
      <c r="A325" s="23" t="s">
        <v>614</v>
      </c>
      <c r="B325" s="5" t="s">
        <v>239</v>
      </c>
      <c r="C325" s="5">
        <v>300</v>
      </c>
      <c r="D325" s="11">
        <f>2246700-20000-726700-16501.75-12203.67</f>
        <v>1471294.58</v>
      </c>
    </row>
    <row r="326" spans="1:4" ht="202.5" customHeight="1">
      <c r="A326" s="34" t="s">
        <v>341</v>
      </c>
      <c r="B326" s="16" t="s">
        <v>240</v>
      </c>
      <c r="C326" s="16">
        <v>200</v>
      </c>
      <c r="D326" s="35">
        <v>6000</v>
      </c>
    </row>
    <row r="327" spans="1:4" ht="124.5" customHeight="1">
      <c r="A327" s="34" t="s">
        <v>461</v>
      </c>
      <c r="B327" s="16" t="s">
        <v>376</v>
      </c>
      <c r="C327" s="16">
        <v>200</v>
      </c>
      <c r="D327" s="35">
        <f>750000-265000</f>
        <v>485000</v>
      </c>
    </row>
    <row r="328" spans="1:4" ht="137.25" customHeight="1">
      <c r="A328" s="34" t="s">
        <v>488</v>
      </c>
      <c r="B328" s="16" t="s">
        <v>376</v>
      </c>
      <c r="C328" s="16">
        <v>600</v>
      </c>
      <c r="D328" s="35">
        <f>1550000-335000</f>
        <v>1215000</v>
      </c>
    </row>
    <row r="329" spans="1:6" s="8" customFormat="1" ht="209.25" customHeight="1">
      <c r="A329" s="23" t="s">
        <v>400</v>
      </c>
      <c r="B329" s="5" t="s">
        <v>241</v>
      </c>
      <c r="C329" s="5">
        <v>100</v>
      </c>
      <c r="D329" s="11">
        <f>201315-28272</f>
        <v>173043</v>
      </c>
      <c r="F329" s="19"/>
    </row>
    <row r="330" spans="1:6" s="8" customFormat="1" ht="150.75" customHeight="1">
      <c r="A330" s="23" t="s">
        <v>401</v>
      </c>
      <c r="B330" s="5" t="s">
        <v>241</v>
      </c>
      <c r="C330" s="5">
        <v>200</v>
      </c>
      <c r="D330" s="11">
        <v>50638</v>
      </c>
      <c r="F330" s="19"/>
    </row>
    <row r="331" spans="1:6" s="8" customFormat="1" ht="222" customHeight="1">
      <c r="A331" s="23" t="s">
        <v>402</v>
      </c>
      <c r="B331" s="5" t="s">
        <v>242</v>
      </c>
      <c r="C331" s="5">
        <v>100</v>
      </c>
      <c r="D331" s="11">
        <v>266475</v>
      </c>
      <c r="F331" s="19"/>
    </row>
    <row r="332" spans="1:4" ht="159" customHeight="1">
      <c r="A332" s="23" t="s">
        <v>379</v>
      </c>
      <c r="B332" s="5" t="s">
        <v>242</v>
      </c>
      <c r="C332" s="5">
        <v>200</v>
      </c>
      <c r="D332" s="11">
        <v>79526</v>
      </c>
    </row>
    <row r="333" spans="1:4" ht="222.75" customHeight="1">
      <c r="A333" s="23" t="s">
        <v>423</v>
      </c>
      <c r="B333" s="5" t="s">
        <v>243</v>
      </c>
      <c r="C333" s="5">
        <v>100</v>
      </c>
      <c r="D333" s="11">
        <f>116615.86+14049.01+3148.18</f>
        <v>133813.05</v>
      </c>
    </row>
    <row r="334" spans="1:4" ht="174.75" customHeight="1">
      <c r="A334" s="23" t="s">
        <v>424</v>
      </c>
      <c r="B334" s="5" t="s">
        <v>243</v>
      </c>
      <c r="C334" s="5">
        <v>200</v>
      </c>
      <c r="D334" s="11">
        <v>6690.65</v>
      </c>
    </row>
    <row r="335" spans="1:4" ht="160.5" customHeight="1">
      <c r="A335" s="23" t="s">
        <v>425</v>
      </c>
      <c r="B335" s="5" t="s">
        <v>244</v>
      </c>
      <c r="C335" s="5">
        <v>200</v>
      </c>
      <c r="D335" s="11">
        <f>4641+876-361</f>
        <v>5156</v>
      </c>
    </row>
    <row r="336" spans="1:4" ht="211.5" customHeight="1">
      <c r="A336" s="23" t="s">
        <v>491</v>
      </c>
      <c r="B336" s="5" t="s">
        <v>490</v>
      </c>
      <c r="C336" s="5">
        <v>800</v>
      </c>
      <c r="D336" s="11">
        <v>1429811</v>
      </c>
    </row>
    <row r="337" spans="1:4" ht="114.75" customHeight="1">
      <c r="A337" s="34" t="s">
        <v>384</v>
      </c>
      <c r="B337" s="16" t="s">
        <v>297</v>
      </c>
      <c r="C337" s="16">
        <v>200</v>
      </c>
      <c r="D337" s="35">
        <f>3990-3990</f>
        <v>0</v>
      </c>
    </row>
    <row r="338" spans="1:4" ht="111.75" customHeight="1">
      <c r="A338" s="34" t="s">
        <v>385</v>
      </c>
      <c r="B338" s="16" t="s">
        <v>297</v>
      </c>
      <c r="C338" s="16">
        <v>600</v>
      </c>
      <c r="D338" s="35">
        <f>6110-6110</f>
        <v>0</v>
      </c>
    </row>
    <row r="339" spans="1:4" ht="141" customHeight="1">
      <c r="A339" s="34" t="s">
        <v>462</v>
      </c>
      <c r="B339" s="16" t="s">
        <v>377</v>
      </c>
      <c r="C339" s="16">
        <v>200</v>
      </c>
      <c r="D339" s="35">
        <f>3780+4050+3280-6110</f>
        <v>5000</v>
      </c>
    </row>
    <row r="340" spans="1:4" ht="142.5" customHeight="1">
      <c r="A340" s="34" t="s">
        <v>439</v>
      </c>
      <c r="B340" s="16" t="s">
        <v>377</v>
      </c>
      <c r="C340" s="16">
        <v>600</v>
      </c>
      <c r="D340" s="35">
        <f>8320+7350-3280</f>
        <v>12390</v>
      </c>
    </row>
    <row r="341" spans="1:4" ht="198.75" customHeight="1">
      <c r="A341" s="36" t="s">
        <v>463</v>
      </c>
      <c r="B341" s="16" t="s">
        <v>464</v>
      </c>
      <c r="C341" s="16">
        <v>200</v>
      </c>
      <c r="D341" s="35">
        <v>600000</v>
      </c>
    </row>
    <row r="342" spans="1:4" ht="198.75" customHeight="1">
      <c r="A342" s="36" t="s">
        <v>546</v>
      </c>
      <c r="B342" s="16" t="s">
        <v>465</v>
      </c>
      <c r="C342" s="16">
        <v>200</v>
      </c>
      <c r="D342" s="35">
        <v>6110</v>
      </c>
    </row>
    <row r="343" spans="1:4" ht="55.5" customHeight="1">
      <c r="A343" s="55" t="s">
        <v>615</v>
      </c>
      <c r="B343" s="56"/>
      <c r="C343" s="57"/>
      <c r="D343" s="9">
        <f>D13+D87+D127+D175+D209+D229+D234+D250+D281+D292+D304</f>
        <v>265109182.15</v>
      </c>
    </row>
    <row r="344" ht="41.25" customHeight="1"/>
    <row r="345" spans="2:4" ht="28.5" customHeight="1">
      <c r="B345" s="12"/>
      <c r="C345" s="13"/>
      <c r="D345" s="31"/>
    </row>
    <row r="346" spans="2:4" ht="26.25" customHeight="1">
      <c r="B346" s="12"/>
      <c r="C346" s="13"/>
      <c r="D346" s="14"/>
    </row>
    <row r="347" spans="2:4" ht="24.75" customHeight="1">
      <c r="B347" s="12"/>
      <c r="C347" s="13"/>
      <c r="D347" s="15"/>
    </row>
    <row r="348" spans="2:4" ht="24.75" customHeight="1">
      <c r="B348" s="12"/>
      <c r="C348" s="13"/>
      <c r="D348" s="14"/>
    </row>
    <row r="350" spans="1:6" s="8" customFormat="1" ht="24.75" customHeight="1">
      <c r="A350" s="1"/>
      <c r="B350" s="1"/>
      <c r="C350" s="2"/>
      <c r="D350" s="3"/>
      <c r="F350" s="19"/>
    </row>
    <row r="355" ht="18.75">
      <c r="E355" s="32"/>
    </row>
  </sheetData>
  <sheetProtection/>
  <mergeCells count="10">
    <mergeCell ref="A343:C343"/>
    <mergeCell ref="A10:D10"/>
    <mergeCell ref="C8:D8"/>
    <mergeCell ref="A9:D9"/>
    <mergeCell ref="B7:D7"/>
    <mergeCell ref="B1:D1"/>
    <mergeCell ref="B2:D2"/>
    <mergeCell ref="B3:D3"/>
    <mergeCell ref="B4:D4"/>
    <mergeCell ref="B5:D5"/>
  </mergeCells>
  <printOptions/>
  <pageMargins left="1.062992125984252" right="0.8661417322834646" top="0.7874015748031497" bottom="0.7874015748031497" header="0" footer="0"/>
  <pageSetup fitToHeight="0" horizontalDpi="180" verticalDpi="18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2016-12-20T13:41:57Z</dcterms:modified>
  <cp:category/>
  <cp:version/>
  <cp:contentType/>
  <cp:contentStatus/>
</cp:coreProperties>
</file>