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2 год" sheetId="1" r:id="rId1"/>
  </sheets>
  <definedNames>
    <definedName name="_xlnm.Print_Titles" localSheetId="0">'Прил. № 4 Распред на 2022 год'!$23:$23</definedName>
  </definedNames>
  <calcPr fullCalcOnLoad="1"/>
</workbook>
</file>

<file path=xl/sharedStrings.xml><?xml version="1.0" encoding="utf-8"?>
<sst xmlns="http://schemas.openxmlformats.org/spreadsheetml/2006/main" count="274" uniqueCount="270">
  <si>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</si>
  <si>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</si>
  <si>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</si>
  <si>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</si>
  <si>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</si>
  <si>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</si>
  <si>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</si>
  <si>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</si>
  <si>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</si>
  <si>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</si>
  <si>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</si>
  <si>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</si>
  <si>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</si>
  <si>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</si>
  <si>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</si>
  <si>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</si>
  <si>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</si>
  <si>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</si>
  <si>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</si>
  <si>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</si>
  <si>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</si>
  <si>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</si>
  <si>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</si>
  <si>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</si>
  <si>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</si>
  <si>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</si>
  <si>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</si>
  <si>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</si>
  <si>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</si>
  <si>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</si>
  <si>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</si>
  <si>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</si>
  <si>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</si>
  <si>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</si>
  <si>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</si>
  <si>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</si>
  <si>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</si>
  <si>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</si>
  <si>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</si>
  <si>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</si>
  <si>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</si>
  <si>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</si>
  <si>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</si>
  <si>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</si>
  <si>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</si>
  <si>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</si>
  <si>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</si>
  <si>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</si>
  <si>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</si>
  <si>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</si>
  <si>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</si>
  <si>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</si>
  <si>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</si>
  <si>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</si>
  <si>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</si>
  <si>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</si>
  <si>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</si>
  <si>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</si>
  <si>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</si>
  <si>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</si>
  <si>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</si>
  <si>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</si>
  <si>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</si>
  <si>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</si>
  <si>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</si>
  <si>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</si>
  <si>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</si>
  <si>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</si>
  <si>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</si>
  <si>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</si>
  <si>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</si>
  <si>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</si>
  <si>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</si>
  <si>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</si>
  <si>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</si>
  <si>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</si>
  <si>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</si>
  <si>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</si>
  <si>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</si>
  <si>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</si>
  <si>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</si>
  <si>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</si>
  <si>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</si>
  <si>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</si>
  <si>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</si>
  <si>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</si>
  <si>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</si>
  <si>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</si>
  <si>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</si>
  <si>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</si>
  <si>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</si>
  <si>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</si>
  <si>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</si>
  <si>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</si>
  <si>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</si>
  <si>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</si>
  <si>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</si>
  <si>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</si>
  <si>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</si>
  <si>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</si>
  <si>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</si>
  <si>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</si>
  <si>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</si>
  <si>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</si>
  <si>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</si>
  <si>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</si>
  <si>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</si>
  <si>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</si>
  <si>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</si>
  <si>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</si>
  <si>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</si>
  <si>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</si>
  <si>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</si>
  <si>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</si>
  <si>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</si>
  <si>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</si>
  <si>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</si>
  <si>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</si>
  <si>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</si>
  <si>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</si>
  <si>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</si>
  <si>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</si>
  <si>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</si>
  <si>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</si>
  <si>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</si>
  <si>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</si>
  <si>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</si>
  <si>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</si>
  <si>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</si>
  <si>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</si>
  <si>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</si>
  <si>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</si>
  <si>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</si>
  <si>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</si>
  <si>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</si>
  <si>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</si>
  <si>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</si>
  <si>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</si>
  <si>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</si>
  <si>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</si>
  <si>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</si>
  <si>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</si>
  <si>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</si>
  <si>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</si>
  <si>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</si>
  <si>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</si>
  <si>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</si>
  <si>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</si>
  <si>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</si>
  <si>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</si>
  <si>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</si>
  <si>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</si>
  <si>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</si>
  <si>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</si>
  <si>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</si>
  <si>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</si>
  <si>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</si>
  <si>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</si>
  <si>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</si>
  <si>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</si>
  <si>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</si>
  <si>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</si>
  <si>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</si>
  <si>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</si>
  <si>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</si>
  <si>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</si>
  <si>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</si>
  <si>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</si>
  <si>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</si>
  <si>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</si>
  <si>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</si>
  <si>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</si>
  <si>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</si>
  <si>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</si>
  <si>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</si>
  <si>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</si>
  <si>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</si>
  <si>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</si>
  <si>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</si>
  <si>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</si>
  <si>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</si>
  <si>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</si>
  <si>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</si>
  <si>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</si>
  <si>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</si>
  <si>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</si>
  <si>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</si>
  <si>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</si>
  <si>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02 3 01 21650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</si>
  <si>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</si>
  <si>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</si>
  <si>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</si>
  <si>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</si>
  <si>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год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</si>
  <si>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</si>
  <si>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</si>
  <si>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</si>
  <si>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</si>
  <si>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</si>
  <si>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</si>
  <si>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</si>
  <si>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</si>
  <si>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</si>
  <si>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</si>
  <si>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02 7 01 21740 </t>
  </si>
  <si>
    <t xml:space="preserve">02 7 01 21750 </t>
  </si>
  <si>
    <t>02 2 01 21760</t>
  </si>
  <si>
    <t>Основное мероприятие "Муниципальный проект "Формирование комфортной городской среды""</t>
  </si>
  <si>
    <t>06 1 F2 00000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</si>
  <si>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</si>
  <si>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</si>
  <si>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</si>
  <si>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</si>
  <si>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</si>
  <si>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</si>
  <si>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</si>
  <si>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</si>
  <si>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02 2 01 21800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</si>
  <si>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</si>
  <si>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</si>
  <si>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</si>
  <si>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</si>
  <si>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</si>
  <si>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</si>
  <si>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</si>
  <si>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</si>
  <si>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</si>
  <si>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4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</si>
  <si>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</si>
  <si>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</si>
  <si>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</si>
  <si>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</si>
  <si>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</si>
  <si>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</si>
  <si>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</si>
  <si>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</si>
  <si>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</si>
  <si>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02 2 01 21380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</si>
  <si>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</si>
  <si>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</si>
  <si>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</si>
  <si>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</si>
  <si>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</si>
  <si>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06 1 01 21690</t>
  </si>
  <si>
    <t>06 1 01 21730</t>
  </si>
  <si>
    <t>06 1 01 21830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</si>
  <si>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</si>
  <si>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</si>
  <si>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</si>
  <si>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Приложение № 4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</si>
  <si>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</si>
  <si>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</si>
  <si>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</si>
  <si>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02 1 01 21860</t>
  </si>
  <si>
    <t>02 1 01 21870</t>
  </si>
  <si>
    <t xml:space="preserve">Приобретение материалов для ремонта системы теплоснабжения – тепловой сети, по адресу: г. Южа, ул. Советская, Пушкина, Лермонтова, Школьный проезд, Текстильщиков, Революции, проезд Советский, проезд Глушицкий, Калинина, Серова, Осипенко, Горького, Стадионная, Дачная, 4-я Рабочая.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</si>
  <si>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водоснабжения – артезианской скважины № 12, по адресу: Южский р-н, д. Нефедово, ул. Молодежная, д. 1А (Закупка товаров, работ и услуг для обеспечения государственных (муниципальных) нужд) </t>
  </si>
  <si>
    <t>06 1 01 21880</t>
  </si>
  <si>
    <t>06 1 01 21890</t>
  </si>
  <si>
    <t>06 1 01 21900</t>
  </si>
  <si>
    <t>31 9 00 90410</t>
  </si>
  <si>
    <t>31 9 00 90420</t>
  </si>
  <si>
    <t>Оплата задолженности  ООО "Объединенные котельные" по решению Арбитражного суда Ивановской области от  25.02.2022 года к делу № А17-12307/2021 (Закупка товаров, работ и услуг для обеспечения государственных (муниципальных) нужд)</t>
  </si>
  <si>
    <t>Оплата задолженности  ООО "Объединенные котельные" по судебному приказу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</t>
  </si>
  <si>
    <t>Оплата задолженности  ООО "Объединенные котельные" по решению Арбитражного суда Ивановской области от  25.02.2022 года к делу № А17-12307/2021  (Иные бюджетные ассигнования)</t>
  </si>
  <si>
    <t>Оплата задолженности  ООО "Объединенные котельные" по судебному приказу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</si>
  <si>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Оказание услуг по осуществлению строительного контроля по объекту: "Устройство детской игровой площадки между домами по улице Осипенко д.12 и Стадионная д.14А 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</si>
  <si>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на территории ТОС "Дружный" в районе ул. Серова д.9, 9а, 11, Горького д. 1, 3 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</si>
  <si>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на территории ТОС "Старая Южа" по ул. Кирьянова г. Южа" (Закупка товаров, работ и услуг для обеспечения государственных (муниципальных) нужд)</t>
  </si>
  <si>
    <t>от 17.03.2022  № 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</si>
</sst>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35" customWidth="1"/>
    <col min="3" max="3" width="5.7109375" style="28" customWidth="1"/>
    <col min="4" max="4" width="19.8515625" style="1" customWidth="1"/>
    <col min="5" max="5" width="0.13671875" style="1" customWidth="1"/>
    <col min="6" max="16384" width="9.140625" style="1" customWidth="1"/>
  </cols>
  <sheetData>
    <row r="1" spans="1:5" ht="18.75" customHeight="1">
      <c r="A1" s="40" t="s">
        <v>249</v>
      </c>
      <c r="B1" s="40"/>
      <c r="C1" s="40"/>
      <c r="D1" s="40"/>
      <c r="E1" s="40"/>
    </row>
    <row r="2" spans="1:5" ht="18.75">
      <c r="A2" s="40" t="s">
        <v>229</v>
      </c>
      <c r="B2" s="40"/>
      <c r="C2" s="40"/>
      <c r="D2" s="40"/>
      <c r="E2" s="40"/>
    </row>
    <row r="3" spans="1:5" ht="18.75">
      <c r="A3" s="40" t="s">
        <v>230</v>
      </c>
      <c r="B3" s="40"/>
      <c r="C3" s="40"/>
      <c r="D3" s="40"/>
      <c r="E3" s="40"/>
    </row>
    <row r="4" spans="1:5" ht="18.75">
      <c r="A4" s="40" t="s">
        <v>231</v>
      </c>
      <c r="B4" s="40"/>
      <c r="C4" s="40"/>
      <c r="D4" s="40"/>
      <c r="E4" s="40"/>
    </row>
    <row r="5" spans="1:5" ht="81" customHeight="1">
      <c r="A5" s="40" t="s">
        <v>232</v>
      </c>
      <c r="B5" s="40"/>
      <c r="C5" s="40"/>
      <c r="D5" s="40"/>
      <c r="E5" s="40"/>
    </row>
    <row r="6" spans="1:5" ht="17.25" customHeight="1">
      <c r="A6" s="40" t="s">
        <v>233</v>
      </c>
      <c r="B6" s="40"/>
      <c r="C6" s="40"/>
      <c r="D6" s="40"/>
      <c r="E6" s="40"/>
    </row>
    <row r="7" spans="1:5" ht="23.25" customHeight="1">
      <c r="A7" s="40" t="s">
        <v>234</v>
      </c>
      <c r="B7" s="40"/>
      <c r="C7" s="40"/>
      <c r="D7" s="40"/>
      <c r="E7" s="40"/>
    </row>
    <row r="8" spans="1:5" ht="18.75">
      <c r="A8" s="40" t="s">
        <v>269</v>
      </c>
      <c r="B8" s="40"/>
      <c r="C8" s="40"/>
      <c r="D8" s="40"/>
      <c r="E8" s="40"/>
    </row>
    <row r="9" spans="1:4" ht="18.75">
      <c r="A9" s="41"/>
      <c r="B9" s="41"/>
      <c r="C9" s="41"/>
      <c r="D9" s="41"/>
    </row>
    <row r="10" spans="1:4" ht="18.75">
      <c r="A10" s="41"/>
      <c r="B10" s="41"/>
      <c r="C10" s="41"/>
      <c r="D10" s="41"/>
    </row>
    <row r="11" spans="1:4" ht="18.75">
      <c r="A11" s="37" t="s">
        <v>227</v>
      </c>
      <c r="B11" s="37"/>
      <c r="C11" s="37"/>
      <c r="D11" s="37"/>
    </row>
    <row r="12" spans="1:4" ht="18.75">
      <c r="A12" s="37" t="s">
        <v>195</v>
      </c>
      <c r="B12" s="37"/>
      <c r="C12" s="37"/>
      <c r="D12" s="37"/>
    </row>
    <row r="13" spans="1:4" ht="18.75">
      <c r="A13" s="37" t="s">
        <v>196</v>
      </c>
      <c r="B13" s="37"/>
      <c r="C13" s="37"/>
      <c r="D13" s="37"/>
    </row>
    <row r="14" spans="1:4" ht="18.75">
      <c r="A14" s="37" t="s">
        <v>197</v>
      </c>
      <c r="B14" s="37"/>
      <c r="C14" s="37"/>
      <c r="D14" s="37"/>
    </row>
    <row r="15" spans="1:4" ht="18.75">
      <c r="A15" s="37" t="s">
        <v>198</v>
      </c>
      <c r="B15" s="37"/>
      <c r="C15" s="37"/>
      <c r="D15" s="37"/>
    </row>
    <row r="16" spans="1:4" ht="78" customHeight="1">
      <c r="A16" s="38" t="s">
        <v>199</v>
      </c>
      <c r="B16" s="38"/>
      <c r="C16" s="38"/>
      <c r="D16" s="38"/>
    </row>
    <row r="17" spans="1:4" ht="21" customHeight="1">
      <c r="A17" s="37" t="s">
        <v>226</v>
      </c>
      <c r="B17" s="37"/>
      <c r="C17" s="37"/>
      <c r="D17" s="37"/>
    </row>
    <row r="20" spans="1:4" s="2" customFormat="1" ht="138" customHeight="1">
      <c r="A20" s="39" t="s">
        <v>193</v>
      </c>
      <c r="B20" s="39"/>
      <c r="C20" s="39"/>
      <c r="D20" s="39"/>
    </row>
    <row r="21" spans="1:4" s="4" customFormat="1" ht="14.25" customHeight="1">
      <c r="A21" s="3"/>
      <c r="B21" s="3"/>
      <c r="C21" s="3"/>
      <c r="D21" s="3"/>
    </row>
    <row r="22" spans="1:4" ht="78" customHeight="1">
      <c r="A22" s="5" t="s">
        <v>108</v>
      </c>
      <c r="B22" s="5" t="s">
        <v>109</v>
      </c>
      <c r="C22" s="6" t="s">
        <v>110</v>
      </c>
      <c r="D22" s="7" t="s">
        <v>194</v>
      </c>
    </row>
    <row r="23" spans="1:4" s="35" customFormat="1" ht="18.75">
      <c r="A23" s="8">
        <v>1</v>
      </c>
      <c r="B23" s="8">
        <v>2</v>
      </c>
      <c r="C23" s="8">
        <v>3</v>
      </c>
      <c r="D23" s="9">
        <v>4</v>
      </c>
    </row>
    <row r="24" spans="1:4" s="13" customFormat="1" ht="61.5" customHeight="1">
      <c r="A24" s="10" t="s">
        <v>89</v>
      </c>
      <c r="B24" s="11" t="s">
        <v>0</v>
      </c>
      <c r="C24" s="11"/>
      <c r="D24" s="12">
        <f>D25+D28</f>
        <v>41583645.25</v>
      </c>
    </row>
    <row r="25" spans="1:4" s="14" customFormat="1" ht="61.5" customHeight="1">
      <c r="A25" s="10" t="s">
        <v>21</v>
      </c>
      <c r="B25" s="11" t="s">
        <v>1</v>
      </c>
      <c r="C25" s="11"/>
      <c r="D25" s="12">
        <f>D26</f>
        <v>100000</v>
      </c>
    </row>
    <row r="26" spans="1:4" s="18" customFormat="1" ht="56.25">
      <c r="A26" s="15" t="s">
        <v>20</v>
      </c>
      <c r="B26" s="16" t="s">
        <v>19</v>
      </c>
      <c r="C26" s="16"/>
      <c r="D26" s="17">
        <f>D27</f>
        <v>100000</v>
      </c>
    </row>
    <row r="27" spans="1:4" ht="135" customHeight="1">
      <c r="A27" s="19" t="s">
        <v>119</v>
      </c>
      <c r="B27" s="7" t="s">
        <v>66</v>
      </c>
      <c r="C27" s="7">
        <v>600</v>
      </c>
      <c r="D27" s="20">
        <f>100000</f>
        <v>100000</v>
      </c>
    </row>
    <row r="28" spans="1:4" s="14" customFormat="1" ht="62.25" customHeight="1">
      <c r="A28" s="10" t="s">
        <v>88</v>
      </c>
      <c r="B28" s="11" t="s">
        <v>2</v>
      </c>
      <c r="C28" s="11"/>
      <c r="D28" s="12">
        <f>D29</f>
        <v>41483645.25</v>
      </c>
    </row>
    <row r="29" spans="1:4" s="18" customFormat="1" ht="80.25" customHeight="1">
      <c r="A29" s="21" t="s">
        <v>24</v>
      </c>
      <c r="B29" s="16" t="s">
        <v>3</v>
      </c>
      <c r="C29" s="16"/>
      <c r="D29" s="17">
        <f>SUM(D30:D39)</f>
        <v>41483645.25</v>
      </c>
    </row>
    <row r="30" spans="1:4" ht="96.75" customHeight="1">
      <c r="A30" s="22" t="s">
        <v>120</v>
      </c>
      <c r="B30" s="7" t="s">
        <v>59</v>
      </c>
      <c r="C30" s="7">
        <v>600</v>
      </c>
      <c r="D30" s="20">
        <f>16876880.78+280353.93+204639.79+90639.75+300000</f>
        <v>17752514.25</v>
      </c>
    </row>
    <row r="31" spans="1:4" ht="58.5" customHeight="1">
      <c r="A31" s="19" t="s">
        <v>31</v>
      </c>
      <c r="B31" s="7" t="s">
        <v>58</v>
      </c>
      <c r="C31" s="7">
        <v>600</v>
      </c>
      <c r="D31" s="20">
        <f>33440</f>
        <v>33440</v>
      </c>
    </row>
    <row r="32" spans="1:4" ht="60" customHeight="1">
      <c r="A32" s="19" t="s">
        <v>32</v>
      </c>
      <c r="B32" s="7" t="s">
        <v>67</v>
      </c>
      <c r="C32" s="7">
        <v>600</v>
      </c>
      <c r="D32" s="20">
        <f>5280</f>
        <v>5280</v>
      </c>
    </row>
    <row r="33" spans="1:4" ht="81" customHeight="1">
      <c r="A33" s="19" t="s">
        <v>33</v>
      </c>
      <c r="B33" s="7" t="s">
        <v>68</v>
      </c>
      <c r="C33" s="7">
        <v>600</v>
      </c>
      <c r="D33" s="20">
        <f>200000+618928</f>
        <v>818928</v>
      </c>
    </row>
    <row r="34" spans="1:4" ht="80.25" customHeight="1">
      <c r="A34" s="22" t="s">
        <v>34</v>
      </c>
      <c r="B34" s="7" t="s">
        <v>69</v>
      </c>
      <c r="C34" s="7">
        <v>200</v>
      </c>
      <c r="D34" s="20">
        <f>77000</f>
        <v>77000</v>
      </c>
    </row>
    <row r="35" spans="1:4" ht="99" customHeight="1">
      <c r="A35" s="22" t="s">
        <v>136</v>
      </c>
      <c r="B35" s="7" t="s">
        <v>137</v>
      </c>
      <c r="C35" s="7">
        <v>600</v>
      </c>
      <c r="D35" s="20">
        <f>150000</f>
        <v>150000</v>
      </c>
    </row>
    <row r="36" spans="1:4" ht="100.5" customHeight="1">
      <c r="A36" s="22" t="s">
        <v>170</v>
      </c>
      <c r="B36" s="7" t="s">
        <v>171</v>
      </c>
      <c r="C36" s="7">
        <v>200</v>
      </c>
      <c r="D36" s="20">
        <f>73000</f>
        <v>73000</v>
      </c>
    </row>
    <row r="37" spans="1:4" ht="139.5" customHeight="1">
      <c r="A37" s="19" t="s">
        <v>202</v>
      </c>
      <c r="B37" s="7" t="s">
        <v>203</v>
      </c>
      <c r="C37" s="7">
        <v>600</v>
      </c>
      <c r="D37" s="20">
        <f>6362604-135745</f>
        <v>6226859</v>
      </c>
    </row>
    <row r="38" spans="1:4" ht="140.25" customHeight="1">
      <c r="A38" s="22" t="s">
        <v>250</v>
      </c>
      <c r="B38" s="7" t="s">
        <v>60</v>
      </c>
      <c r="C38" s="7">
        <v>600</v>
      </c>
      <c r="D38" s="20">
        <f>1121650.92</f>
        <v>1121650.92</v>
      </c>
    </row>
    <row r="39" spans="1:4" ht="105.75" customHeight="1">
      <c r="A39" s="22" t="s">
        <v>236</v>
      </c>
      <c r="B39" s="7" t="s">
        <v>235</v>
      </c>
      <c r="C39" s="7">
        <v>600</v>
      </c>
      <c r="D39" s="20">
        <f>740042.11+14060800+424130.97</f>
        <v>15224973.08</v>
      </c>
    </row>
    <row r="40" spans="1:4" s="14" customFormat="1" ht="79.5" customHeight="1">
      <c r="A40" s="10" t="s">
        <v>90</v>
      </c>
      <c r="B40" s="11" t="s">
        <v>4</v>
      </c>
      <c r="C40" s="11"/>
      <c r="D40" s="12">
        <f>D41+D52+D71+D86+D90+D93+D103+D107</f>
        <v>57635888.080000006</v>
      </c>
    </row>
    <row r="41" spans="1:4" s="14" customFormat="1" ht="59.25" customHeight="1">
      <c r="A41" s="10" t="s">
        <v>36</v>
      </c>
      <c r="B41" s="11" t="s">
        <v>5</v>
      </c>
      <c r="C41" s="11"/>
      <c r="D41" s="12">
        <f>D42</f>
        <v>3118425.7600000002</v>
      </c>
    </row>
    <row r="42" spans="1:4" s="18" customFormat="1" ht="78.75" customHeight="1">
      <c r="A42" s="21" t="s">
        <v>25</v>
      </c>
      <c r="B42" s="16" t="s">
        <v>6</v>
      </c>
      <c r="C42" s="16"/>
      <c r="D42" s="17">
        <f>SUM(D43:D51)</f>
        <v>3118425.7600000002</v>
      </c>
    </row>
    <row r="43" spans="1:4" ht="81" customHeight="1">
      <c r="A43" s="22" t="s">
        <v>37</v>
      </c>
      <c r="B43" s="7" t="s">
        <v>61</v>
      </c>
      <c r="C43" s="7">
        <v>200</v>
      </c>
      <c r="D43" s="20">
        <f>150000</f>
        <v>150000</v>
      </c>
    </row>
    <row r="44" spans="1:4" ht="117" customHeight="1">
      <c r="A44" s="22" t="s">
        <v>81</v>
      </c>
      <c r="B44" s="7" t="s">
        <v>70</v>
      </c>
      <c r="C44" s="7">
        <v>200</v>
      </c>
      <c r="D44" s="20">
        <f>1000000-0.01</f>
        <v>999999.99</v>
      </c>
    </row>
    <row r="45" spans="1:4" ht="78.75" customHeight="1">
      <c r="A45" s="22" t="s">
        <v>100</v>
      </c>
      <c r="B45" s="7" t="s">
        <v>101</v>
      </c>
      <c r="C45" s="7">
        <v>200</v>
      </c>
      <c r="D45" s="20">
        <f>90103+17076.2</f>
        <v>107179.2</v>
      </c>
    </row>
    <row r="46" spans="1:4" ht="80.25" customHeight="1">
      <c r="A46" s="22" t="s">
        <v>128</v>
      </c>
      <c r="B46" s="7" t="s">
        <v>129</v>
      </c>
      <c r="C46" s="7">
        <v>200</v>
      </c>
      <c r="D46" s="20">
        <f>353572</f>
        <v>353572</v>
      </c>
    </row>
    <row r="47" spans="1:4" ht="101.25" customHeight="1">
      <c r="A47" s="19" t="s">
        <v>105</v>
      </c>
      <c r="B47" s="7" t="s">
        <v>106</v>
      </c>
      <c r="C47" s="7">
        <v>200</v>
      </c>
      <c r="D47" s="20">
        <f>29708.3</f>
        <v>29708.3</v>
      </c>
    </row>
    <row r="48" spans="1:4" ht="141.75" customHeight="1">
      <c r="A48" s="19" t="s">
        <v>130</v>
      </c>
      <c r="B48" s="7" t="s">
        <v>131</v>
      </c>
      <c r="C48" s="7">
        <v>200</v>
      </c>
      <c r="D48" s="20">
        <f>300000</f>
        <v>300000</v>
      </c>
    </row>
    <row r="49" spans="1:4" ht="174.75" customHeight="1">
      <c r="A49" s="19" t="s">
        <v>255</v>
      </c>
      <c r="B49" s="7" t="s">
        <v>253</v>
      </c>
      <c r="C49" s="7">
        <v>200</v>
      </c>
      <c r="D49" s="20">
        <f>445784.03</f>
        <v>445784.03</v>
      </c>
    </row>
    <row r="50" spans="1:4" ht="99.75" customHeight="1">
      <c r="A50" s="19" t="s">
        <v>256</v>
      </c>
      <c r="B50" s="7" t="s">
        <v>254</v>
      </c>
      <c r="C50" s="7">
        <v>200</v>
      </c>
      <c r="D50" s="20">
        <f>404955.01</f>
        <v>404955.01</v>
      </c>
    </row>
    <row r="51" spans="1:4" ht="270" customHeight="1">
      <c r="A51" s="19" t="s">
        <v>140</v>
      </c>
      <c r="B51" s="7" t="s">
        <v>141</v>
      </c>
      <c r="C51" s="7">
        <v>800</v>
      </c>
      <c r="D51" s="20">
        <f>300000+27227.23</f>
        <v>327227.23</v>
      </c>
    </row>
    <row r="52" spans="1:4" s="24" customFormat="1" ht="40.5" customHeight="1">
      <c r="A52" s="10" t="s">
        <v>38</v>
      </c>
      <c r="B52" s="11" t="s">
        <v>7</v>
      </c>
      <c r="C52" s="23"/>
      <c r="D52" s="12">
        <f>D53</f>
        <v>17923459.11</v>
      </c>
    </row>
    <row r="53" spans="1:4" s="18" customFormat="1" ht="56.25">
      <c r="A53" s="21" t="s">
        <v>35</v>
      </c>
      <c r="B53" s="16" t="s">
        <v>8</v>
      </c>
      <c r="C53" s="16"/>
      <c r="D53" s="17">
        <f>SUM(D54:D70)</f>
        <v>17923459.11</v>
      </c>
    </row>
    <row r="54" spans="1:4" ht="117" customHeight="1">
      <c r="A54" s="22" t="s">
        <v>87</v>
      </c>
      <c r="B54" s="7" t="s">
        <v>62</v>
      </c>
      <c r="C54" s="7">
        <v>200</v>
      </c>
      <c r="D54" s="20">
        <f>2425948.79</f>
        <v>2425948.79</v>
      </c>
    </row>
    <row r="55" spans="1:4" ht="97.5" customHeight="1">
      <c r="A55" s="22" t="s">
        <v>181</v>
      </c>
      <c r="B55" s="7" t="s">
        <v>180</v>
      </c>
      <c r="C55" s="7">
        <v>200</v>
      </c>
      <c r="D55" s="20">
        <f>1757770.12</f>
        <v>1757770.12</v>
      </c>
    </row>
    <row r="56" spans="1:4" ht="96.75" customHeight="1">
      <c r="A56" s="22" t="s">
        <v>121</v>
      </c>
      <c r="B56" s="7" t="s">
        <v>71</v>
      </c>
      <c r="C56" s="7">
        <v>200</v>
      </c>
      <c r="D56" s="20">
        <f>6300000-5850000+300000+153176.6</f>
        <v>903176.6</v>
      </c>
    </row>
    <row r="57" spans="1:4" ht="62.25" customHeight="1">
      <c r="A57" s="22" t="s">
        <v>122</v>
      </c>
      <c r="B57" s="7" t="s">
        <v>72</v>
      </c>
      <c r="C57" s="7">
        <v>200</v>
      </c>
      <c r="D57" s="20">
        <f>141452.59+138000</f>
        <v>279452.58999999997</v>
      </c>
    </row>
    <row r="58" spans="1:4" ht="59.25" customHeight="1">
      <c r="A58" s="22" t="s">
        <v>39</v>
      </c>
      <c r="B58" s="7" t="s">
        <v>73</v>
      </c>
      <c r="C58" s="7">
        <v>200</v>
      </c>
      <c r="D58" s="20">
        <f>254873+12526.46</f>
        <v>267399.46</v>
      </c>
    </row>
    <row r="59" spans="1:4" ht="81" customHeight="1">
      <c r="A59" s="22" t="s">
        <v>134</v>
      </c>
      <c r="B59" s="7" t="s">
        <v>135</v>
      </c>
      <c r="C59" s="7">
        <v>200</v>
      </c>
      <c r="D59" s="20">
        <f>525000-103000</f>
        <v>422000</v>
      </c>
    </row>
    <row r="60" spans="1:4" ht="134.25" customHeight="1">
      <c r="A60" s="19" t="s">
        <v>191</v>
      </c>
      <c r="B60" s="7" t="s">
        <v>190</v>
      </c>
      <c r="C60" s="7">
        <v>200</v>
      </c>
      <c r="D60" s="20">
        <f>239800-63000-138000</f>
        <v>38800</v>
      </c>
    </row>
    <row r="61" spans="1:4" ht="79.5" customHeight="1">
      <c r="A61" s="19" t="s">
        <v>152</v>
      </c>
      <c r="B61" s="25" t="s">
        <v>192</v>
      </c>
      <c r="C61" s="7">
        <v>200</v>
      </c>
      <c r="D61" s="20">
        <f>230803+125891.98+15696.57</f>
        <v>372391.55</v>
      </c>
    </row>
    <row r="62" spans="1:4" ht="159.75" customHeight="1">
      <c r="A62" s="19" t="s">
        <v>238</v>
      </c>
      <c r="B62" s="25" t="s">
        <v>237</v>
      </c>
      <c r="C62" s="7">
        <v>200</v>
      </c>
      <c r="D62" s="20">
        <f>21000</f>
        <v>21000</v>
      </c>
    </row>
    <row r="63" spans="1:4" ht="65.25" customHeight="1">
      <c r="A63" s="19" t="s">
        <v>147</v>
      </c>
      <c r="B63" s="7" t="s">
        <v>155</v>
      </c>
      <c r="C63" s="7">
        <v>200</v>
      </c>
      <c r="D63" s="20">
        <f>200000</f>
        <v>200000</v>
      </c>
    </row>
    <row r="64" spans="1:4" ht="97.5" customHeight="1">
      <c r="A64" s="19" t="s">
        <v>209</v>
      </c>
      <c r="B64" s="7" t="s">
        <v>206</v>
      </c>
      <c r="C64" s="7">
        <v>200</v>
      </c>
      <c r="D64" s="20">
        <f>2806302.4+705357.6</f>
        <v>3511660</v>
      </c>
    </row>
    <row r="65" spans="1:4" ht="97.5" customHeight="1">
      <c r="A65" s="19" t="s">
        <v>212</v>
      </c>
      <c r="B65" s="7" t="s">
        <v>213</v>
      </c>
      <c r="C65" s="7">
        <v>200</v>
      </c>
      <c r="D65" s="20">
        <f>1300000+900000</f>
        <v>2200000</v>
      </c>
    </row>
    <row r="66" spans="1:4" ht="153.75" customHeight="1">
      <c r="A66" s="19" t="s">
        <v>225</v>
      </c>
      <c r="B66" s="7" t="s">
        <v>214</v>
      </c>
      <c r="C66" s="7">
        <v>200</v>
      </c>
      <c r="D66" s="20">
        <f>650000</f>
        <v>650000</v>
      </c>
    </row>
    <row r="67" spans="1:4" ht="97.5" customHeight="1">
      <c r="A67" s="19" t="s">
        <v>215</v>
      </c>
      <c r="B67" s="7" t="s">
        <v>216</v>
      </c>
      <c r="C67" s="7">
        <v>200</v>
      </c>
      <c r="D67" s="20">
        <f>4300000</f>
        <v>4300000</v>
      </c>
    </row>
    <row r="68" spans="1:4" ht="97.5" customHeight="1">
      <c r="A68" s="19" t="s">
        <v>224</v>
      </c>
      <c r="B68" s="7" t="s">
        <v>217</v>
      </c>
      <c r="C68" s="7">
        <v>400</v>
      </c>
      <c r="D68" s="20">
        <f>269860</f>
        <v>269860</v>
      </c>
    </row>
    <row r="69" spans="1:4" ht="117" customHeight="1">
      <c r="A69" s="19" t="s">
        <v>221</v>
      </c>
      <c r="B69" s="7" t="s">
        <v>220</v>
      </c>
      <c r="C69" s="7">
        <v>200</v>
      </c>
      <c r="D69" s="20">
        <f>218000</f>
        <v>218000</v>
      </c>
    </row>
    <row r="70" spans="1:4" ht="97.5" customHeight="1">
      <c r="A70" s="19" t="s">
        <v>223</v>
      </c>
      <c r="B70" s="7" t="s">
        <v>222</v>
      </c>
      <c r="C70" s="7">
        <v>200</v>
      </c>
      <c r="D70" s="20">
        <f>86000</f>
        <v>86000</v>
      </c>
    </row>
    <row r="71" spans="1:4" s="14" customFormat="1" ht="58.5" customHeight="1">
      <c r="A71" s="10" t="s">
        <v>82</v>
      </c>
      <c r="B71" s="11" t="s">
        <v>9</v>
      </c>
      <c r="C71" s="11"/>
      <c r="D71" s="12">
        <f>D72+D84</f>
        <v>28386306.75</v>
      </c>
    </row>
    <row r="72" spans="1:4" s="24" customFormat="1" ht="56.25">
      <c r="A72" s="21" t="s">
        <v>26</v>
      </c>
      <c r="B72" s="16" t="s">
        <v>10</v>
      </c>
      <c r="C72" s="16"/>
      <c r="D72" s="17">
        <f>SUM(D73:D83)</f>
        <v>24529251.07</v>
      </c>
    </row>
    <row r="73" spans="1:4" s="24" customFormat="1" ht="135.75" customHeight="1">
      <c r="A73" s="19" t="s">
        <v>168</v>
      </c>
      <c r="B73" s="7" t="s">
        <v>169</v>
      </c>
      <c r="C73" s="7">
        <v>200</v>
      </c>
      <c r="D73" s="20">
        <f>1900892.62</f>
        <v>1900892.62</v>
      </c>
    </row>
    <row r="74" spans="1:4" s="24" customFormat="1" ht="134.25" customHeight="1">
      <c r="A74" s="19" t="s">
        <v>183</v>
      </c>
      <c r="B74" s="7" t="s">
        <v>182</v>
      </c>
      <c r="C74" s="7">
        <v>200</v>
      </c>
      <c r="D74" s="20">
        <f>328000+134000+30000</f>
        <v>492000</v>
      </c>
    </row>
    <row r="75" spans="1:4" s="24" customFormat="1" ht="99" customHeight="1">
      <c r="A75" s="19" t="s">
        <v>185</v>
      </c>
      <c r="B75" s="7" t="s">
        <v>184</v>
      </c>
      <c r="C75" s="7">
        <v>200</v>
      </c>
      <c r="D75" s="20">
        <f>1169822.9+817677.1</f>
        <v>1987500</v>
      </c>
    </row>
    <row r="76" spans="1:4" s="24" customFormat="1" ht="99" customHeight="1">
      <c r="A76" s="19" t="s">
        <v>172</v>
      </c>
      <c r="B76" s="7" t="s">
        <v>173</v>
      </c>
      <c r="C76" s="7">
        <v>200</v>
      </c>
      <c r="D76" s="20">
        <f>80000</f>
        <v>80000</v>
      </c>
    </row>
    <row r="77" spans="1:4" ht="289.5" customHeight="1">
      <c r="A77" s="19" t="s">
        <v>156</v>
      </c>
      <c r="B77" s="7" t="s">
        <v>157</v>
      </c>
      <c r="C77" s="7">
        <v>200</v>
      </c>
      <c r="D77" s="20">
        <f>11950000-2806302.4-705357.6+201578.54</f>
        <v>8639918.54</v>
      </c>
    </row>
    <row r="78" spans="1:4" ht="97.5" customHeight="1">
      <c r="A78" s="19" t="s">
        <v>166</v>
      </c>
      <c r="B78" s="7" t="s">
        <v>167</v>
      </c>
      <c r="C78" s="7">
        <v>200</v>
      </c>
      <c r="D78" s="20">
        <f>1777965.33+23958.67</f>
        <v>1801924</v>
      </c>
    </row>
    <row r="79" spans="1:4" ht="119.25" customHeight="1">
      <c r="A79" s="19" t="s">
        <v>187</v>
      </c>
      <c r="B79" s="7" t="s">
        <v>186</v>
      </c>
      <c r="C79" s="7">
        <v>200</v>
      </c>
      <c r="D79" s="20">
        <f>1738086+307043</f>
        <v>2045129</v>
      </c>
    </row>
    <row r="80" spans="1:4" ht="120" customHeight="1">
      <c r="A80" s="19" t="s">
        <v>189</v>
      </c>
      <c r="B80" s="7" t="s">
        <v>188</v>
      </c>
      <c r="C80" s="7">
        <v>200</v>
      </c>
      <c r="D80" s="20">
        <f>3743650</f>
        <v>3743650</v>
      </c>
    </row>
    <row r="81" spans="1:4" ht="101.25" customHeight="1">
      <c r="A81" s="19" t="s">
        <v>241</v>
      </c>
      <c r="B81" s="7" t="s">
        <v>239</v>
      </c>
      <c r="C81" s="7">
        <v>200</v>
      </c>
      <c r="D81" s="20">
        <f>19725.73</f>
        <v>19725.73</v>
      </c>
    </row>
    <row r="82" spans="1:4" ht="138.75" customHeight="1">
      <c r="A82" s="19" t="s">
        <v>242</v>
      </c>
      <c r="B82" s="7" t="s">
        <v>240</v>
      </c>
      <c r="C82" s="7">
        <v>200</v>
      </c>
      <c r="D82" s="20">
        <f>150000</f>
        <v>150000</v>
      </c>
    </row>
    <row r="83" spans="1:4" ht="155.25" customHeight="1">
      <c r="A83" s="22" t="s">
        <v>146</v>
      </c>
      <c r="B83" s="7" t="s">
        <v>145</v>
      </c>
      <c r="C83" s="7">
        <v>200</v>
      </c>
      <c r="D83" s="20">
        <f>3668511.18</f>
        <v>3668511.18</v>
      </c>
    </row>
    <row r="84" spans="1:4" s="18" customFormat="1" ht="60" customHeight="1">
      <c r="A84" s="21" t="s">
        <v>115</v>
      </c>
      <c r="B84" s="16" t="s">
        <v>116</v>
      </c>
      <c r="C84" s="16"/>
      <c r="D84" s="17">
        <f>D85</f>
        <v>3857055.68</v>
      </c>
    </row>
    <row r="85" spans="1:4" ht="116.25" customHeight="1">
      <c r="A85" s="22" t="s">
        <v>117</v>
      </c>
      <c r="B85" s="7" t="s">
        <v>118</v>
      </c>
      <c r="C85" s="7">
        <v>200</v>
      </c>
      <c r="D85" s="20">
        <f>3139821.56-12526.46+729760.58</f>
        <v>3857055.68</v>
      </c>
    </row>
    <row r="86" spans="1:4" s="14" customFormat="1" ht="60.75" customHeight="1">
      <c r="A86" s="10" t="s">
        <v>83</v>
      </c>
      <c r="B86" s="11" t="s">
        <v>22</v>
      </c>
      <c r="C86" s="11"/>
      <c r="D86" s="12">
        <f>D87</f>
        <v>1169351.67</v>
      </c>
    </row>
    <row r="87" spans="1:4" s="18" customFormat="1" ht="39.75" customHeight="1">
      <c r="A87" s="21" t="s">
        <v>28</v>
      </c>
      <c r="B87" s="16" t="s">
        <v>23</v>
      </c>
      <c r="C87" s="16"/>
      <c r="D87" s="17">
        <f>SUM(D88:D89)</f>
        <v>1169351.67</v>
      </c>
    </row>
    <row r="88" spans="1:4" ht="78" customHeight="1">
      <c r="A88" s="22" t="s">
        <v>40</v>
      </c>
      <c r="B88" s="7" t="s">
        <v>74</v>
      </c>
      <c r="C88" s="7">
        <v>200</v>
      </c>
      <c r="D88" s="20">
        <f>389044</f>
        <v>389044</v>
      </c>
    </row>
    <row r="89" spans="1:4" ht="77.25" customHeight="1">
      <c r="A89" s="22" t="s">
        <v>154</v>
      </c>
      <c r="B89" s="7" t="s">
        <v>153</v>
      </c>
      <c r="C89" s="7">
        <v>200</v>
      </c>
      <c r="D89" s="20">
        <f>800000-19692.33</f>
        <v>780307.67</v>
      </c>
    </row>
    <row r="90" spans="1:4" s="14" customFormat="1" ht="117.75" customHeight="1">
      <c r="A90" s="10" t="s">
        <v>124</v>
      </c>
      <c r="B90" s="11" t="s">
        <v>41</v>
      </c>
      <c r="C90" s="11"/>
      <c r="D90" s="12">
        <f>D91</f>
        <v>2400000</v>
      </c>
    </row>
    <row r="91" spans="1:4" s="18" customFormat="1" ht="60.75" customHeight="1">
      <c r="A91" s="21" t="s">
        <v>43</v>
      </c>
      <c r="B91" s="16" t="s">
        <v>42</v>
      </c>
      <c r="C91" s="16"/>
      <c r="D91" s="17">
        <f>D92</f>
        <v>2400000</v>
      </c>
    </row>
    <row r="92" spans="1:4" ht="116.25" customHeight="1">
      <c r="A92" s="19" t="s">
        <v>123</v>
      </c>
      <c r="B92" s="7" t="s">
        <v>65</v>
      </c>
      <c r="C92" s="7">
        <v>800</v>
      </c>
      <c r="D92" s="20">
        <f>2400000</f>
        <v>2400000</v>
      </c>
    </row>
    <row r="93" spans="1:4" s="24" customFormat="1" ht="60" customHeight="1">
      <c r="A93" s="10" t="s">
        <v>46</v>
      </c>
      <c r="B93" s="11" t="s">
        <v>47</v>
      </c>
      <c r="C93" s="11"/>
      <c r="D93" s="12">
        <f>D94+D98+D100</f>
        <v>384000</v>
      </c>
    </row>
    <row r="94" spans="1:4" s="24" customFormat="1" ht="42" customHeight="1">
      <c r="A94" s="21" t="s">
        <v>48</v>
      </c>
      <c r="B94" s="16" t="s">
        <v>44</v>
      </c>
      <c r="C94" s="16"/>
      <c r="D94" s="17">
        <f>SUM(D95:D97)</f>
        <v>124000</v>
      </c>
    </row>
    <row r="95" spans="1:4" ht="98.25" customHeight="1">
      <c r="A95" s="22" t="s">
        <v>49</v>
      </c>
      <c r="B95" s="7" t="s">
        <v>75</v>
      </c>
      <c r="C95" s="7">
        <v>200</v>
      </c>
      <c r="D95" s="20">
        <f>9000</f>
        <v>9000</v>
      </c>
    </row>
    <row r="96" spans="1:4" ht="80.25" customHeight="1">
      <c r="A96" s="22" t="s">
        <v>210</v>
      </c>
      <c r="B96" s="7" t="s">
        <v>204</v>
      </c>
      <c r="C96" s="7">
        <v>200</v>
      </c>
      <c r="D96" s="20">
        <f>25000</f>
        <v>25000</v>
      </c>
    </row>
    <row r="97" spans="1:4" ht="138" customHeight="1">
      <c r="A97" s="22" t="s">
        <v>211</v>
      </c>
      <c r="B97" s="7" t="s">
        <v>205</v>
      </c>
      <c r="C97" s="7">
        <v>200</v>
      </c>
      <c r="D97" s="20">
        <f>90000</f>
        <v>90000</v>
      </c>
    </row>
    <row r="98" spans="1:4" s="18" customFormat="1" ht="43.5" customHeight="1">
      <c r="A98" s="21" t="s">
        <v>27</v>
      </c>
      <c r="B98" s="16" t="s">
        <v>54</v>
      </c>
      <c r="C98" s="16"/>
      <c r="D98" s="17">
        <f>D99</f>
        <v>60000</v>
      </c>
    </row>
    <row r="99" spans="1:4" ht="96.75" customHeight="1">
      <c r="A99" s="22" t="s">
        <v>45</v>
      </c>
      <c r="B99" s="7" t="s">
        <v>76</v>
      </c>
      <c r="C99" s="7">
        <v>200</v>
      </c>
      <c r="D99" s="20">
        <f>60000</f>
        <v>60000</v>
      </c>
    </row>
    <row r="100" spans="1:4" s="18" customFormat="1" ht="79.5" customHeight="1">
      <c r="A100" s="21" t="s">
        <v>144</v>
      </c>
      <c r="B100" s="16" t="s">
        <v>102</v>
      </c>
      <c r="C100" s="16"/>
      <c r="D100" s="17">
        <f>SUM(D101:D102)</f>
        <v>200000</v>
      </c>
    </row>
    <row r="101" spans="1:4" ht="117" customHeight="1">
      <c r="A101" s="22" t="s">
        <v>103</v>
      </c>
      <c r="B101" s="7" t="s">
        <v>104</v>
      </c>
      <c r="C101" s="7">
        <v>200</v>
      </c>
      <c r="D101" s="20">
        <f>100000</f>
        <v>100000</v>
      </c>
    </row>
    <row r="102" spans="1:4" ht="78" customHeight="1">
      <c r="A102" s="22" t="s">
        <v>151</v>
      </c>
      <c r="B102" s="7" t="s">
        <v>150</v>
      </c>
      <c r="C102" s="7">
        <v>200</v>
      </c>
      <c r="D102" s="20">
        <f>100000</f>
        <v>100000</v>
      </c>
    </row>
    <row r="103" spans="1:4" s="24" customFormat="1" ht="117.75" customHeight="1">
      <c r="A103" s="10" t="s">
        <v>93</v>
      </c>
      <c r="B103" s="11" t="s">
        <v>94</v>
      </c>
      <c r="C103" s="11"/>
      <c r="D103" s="12">
        <f>D104</f>
        <v>3914344.79</v>
      </c>
    </row>
    <row r="104" spans="1:4" s="18" customFormat="1" ht="77.25" customHeight="1">
      <c r="A104" s="21" t="s">
        <v>95</v>
      </c>
      <c r="B104" s="16" t="s">
        <v>96</v>
      </c>
      <c r="C104" s="16"/>
      <c r="D104" s="17">
        <f>SUM(D105:D106)</f>
        <v>3914344.79</v>
      </c>
    </row>
    <row r="105" spans="1:4" ht="138.75" customHeight="1">
      <c r="A105" s="19" t="s">
        <v>97</v>
      </c>
      <c r="B105" s="7" t="s">
        <v>98</v>
      </c>
      <c r="C105" s="7">
        <v>100</v>
      </c>
      <c r="D105" s="20">
        <f>3841165.93-21613.27-6527.2</f>
        <v>3813025.46</v>
      </c>
    </row>
    <row r="106" spans="1:4" ht="100.5" customHeight="1">
      <c r="A106" s="22" t="s">
        <v>99</v>
      </c>
      <c r="B106" s="7" t="s">
        <v>98</v>
      </c>
      <c r="C106" s="7">
        <v>200</v>
      </c>
      <c r="D106" s="20">
        <f>125278-23958.67</f>
        <v>101319.33</v>
      </c>
    </row>
    <row r="107" spans="1:4" s="14" customFormat="1" ht="59.25" customHeight="1">
      <c r="A107" s="10" t="s">
        <v>160</v>
      </c>
      <c r="B107" s="11" t="s">
        <v>161</v>
      </c>
      <c r="C107" s="11"/>
      <c r="D107" s="12">
        <f>D108</f>
        <v>340000</v>
      </c>
    </row>
    <row r="108" spans="1:4" s="18" customFormat="1" ht="59.25" customHeight="1">
      <c r="A108" s="21" t="s">
        <v>162</v>
      </c>
      <c r="B108" s="16" t="s">
        <v>163</v>
      </c>
      <c r="C108" s="16"/>
      <c r="D108" s="17">
        <f>D109</f>
        <v>340000</v>
      </c>
    </row>
    <row r="109" spans="1:4" ht="117.75" customHeight="1">
      <c r="A109" s="22" t="s">
        <v>177</v>
      </c>
      <c r="B109" s="7" t="s">
        <v>174</v>
      </c>
      <c r="C109" s="7">
        <v>800</v>
      </c>
      <c r="D109" s="20">
        <f>340000</f>
        <v>340000</v>
      </c>
    </row>
    <row r="110" spans="1:4" s="14" customFormat="1" ht="41.25" customHeight="1">
      <c r="A110" s="10" t="s">
        <v>91</v>
      </c>
      <c r="B110" s="11" t="s">
        <v>11</v>
      </c>
      <c r="C110" s="11"/>
      <c r="D110" s="12">
        <f>D111+D115</f>
        <v>755000</v>
      </c>
    </row>
    <row r="111" spans="1:4" s="14" customFormat="1" ht="95.25" customHeight="1">
      <c r="A111" s="10" t="s">
        <v>92</v>
      </c>
      <c r="B111" s="11" t="s">
        <v>12</v>
      </c>
      <c r="C111" s="11"/>
      <c r="D111" s="12">
        <f>D112</f>
        <v>201500</v>
      </c>
    </row>
    <row r="112" spans="1:4" s="24" customFormat="1" ht="56.25">
      <c r="A112" s="21" t="s">
        <v>55</v>
      </c>
      <c r="B112" s="16" t="s">
        <v>13</v>
      </c>
      <c r="C112" s="16"/>
      <c r="D112" s="17">
        <f>SUM(D113:D114)</f>
        <v>201500</v>
      </c>
    </row>
    <row r="113" spans="1:4" s="24" customFormat="1" ht="99" customHeight="1">
      <c r="A113" s="22" t="s">
        <v>50</v>
      </c>
      <c r="B113" s="7" t="s">
        <v>77</v>
      </c>
      <c r="C113" s="7">
        <v>200</v>
      </c>
      <c r="D113" s="20">
        <f>1500</f>
        <v>1500</v>
      </c>
    </row>
    <row r="114" spans="1:4" s="14" customFormat="1" ht="117.75" customHeight="1">
      <c r="A114" s="22" t="s">
        <v>143</v>
      </c>
      <c r="B114" s="7" t="s">
        <v>142</v>
      </c>
      <c r="C114" s="7">
        <v>200</v>
      </c>
      <c r="D114" s="20">
        <f>200000</f>
        <v>200000</v>
      </c>
    </row>
    <row r="115" spans="1:4" s="14" customFormat="1" ht="82.5" customHeight="1">
      <c r="A115" s="10" t="s">
        <v>51</v>
      </c>
      <c r="B115" s="11" t="s">
        <v>14</v>
      </c>
      <c r="C115" s="11"/>
      <c r="D115" s="12">
        <f>D116</f>
        <v>553500</v>
      </c>
    </row>
    <row r="116" spans="1:4" s="24" customFormat="1" ht="59.25" customHeight="1">
      <c r="A116" s="21" t="s">
        <v>56</v>
      </c>
      <c r="B116" s="16" t="s">
        <v>15</v>
      </c>
      <c r="C116" s="16"/>
      <c r="D116" s="17">
        <f>SUM(D117:D119)</f>
        <v>553500</v>
      </c>
    </row>
    <row r="117" spans="1:4" ht="99.75" customHeight="1">
      <c r="A117" s="22" t="s">
        <v>52</v>
      </c>
      <c r="B117" s="7" t="s">
        <v>78</v>
      </c>
      <c r="C117" s="7">
        <v>200</v>
      </c>
      <c r="D117" s="20">
        <f>261500-20000</f>
        <v>241500</v>
      </c>
    </row>
    <row r="118" spans="1:4" ht="135.75" customHeight="1">
      <c r="A118" s="22" t="s">
        <v>57</v>
      </c>
      <c r="B118" s="7" t="s">
        <v>79</v>
      </c>
      <c r="C118" s="7">
        <v>200</v>
      </c>
      <c r="D118" s="20">
        <f>12000</f>
        <v>12000</v>
      </c>
    </row>
    <row r="119" spans="1:4" ht="61.5" customHeight="1">
      <c r="A119" s="22" t="s">
        <v>53</v>
      </c>
      <c r="B119" s="7" t="s">
        <v>80</v>
      </c>
      <c r="C119" s="7">
        <v>800</v>
      </c>
      <c r="D119" s="20">
        <f>300000</f>
        <v>300000</v>
      </c>
    </row>
    <row r="120" spans="1:4" s="14" customFormat="1" ht="81" customHeight="1">
      <c r="A120" s="10" t="s">
        <v>158</v>
      </c>
      <c r="B120" s="11" t="s">
        <v>159</v>
      </c>
      <c r="C120" s="11"/>
      <c r="D120" s="12">
        <f>D121</f>
        <v>3456057.7800000003</v>
      </c>
    </row>
    <row r="121" spans="1:4" s="14" customFormat="1" ht="41.25" customHeight="1">
      <c r="A121" s="10" t="s">
        <v>164</v>
      </c>
      <c r="B121" s="11" t="s">
        <v>165</v>
      </c>
      <c r="C121" s="11"/>
      <c r="D121" s="12">
        <f>D122+D130</f>
        <v>3456057.7800000003</v>
      </c>
    </row>
    <row r="122" spans="1:4" s="14" customFormat="1" ht="41.25" customHeight="1">
      <c r="A122" s="21" t="s">
        <v>175</v>
      </c>
      <c r="B122" s="16" t="s">
        <v>176</v>
      </c>
      <c r="C122" s="23"/>
      <c r="D122" s="17">
        <f>SUM(D123:D129)</f>
        <v>282057.78</v>
      </c>
    </row>
    <row r="123" spans="1:4" s="14" customFormat="1" ht="157.5" customHeight="1">
      <c r="A123" s="22" t="s">
        <v>179</v>
      </c>
      <c r="B123" s="7" t="s">
        <v>178</v>
      </c>
      <c r="C123" s="7">
        <v>200</v>
      </c>
      <c r="D123" s="20">
        <f>58840</f>
        <v>58840</v>
      </c>
    </row>
    <row r="124" spans="1:4" s="14" customFormat="1" ht="124.5" customHeight="1">
      <c r="A124" s="22" t="s">
        <v>246</v>
      </c>
      <c r="B124" s="7" t="s">
        <v>243</v>
      </c>
      <c r="C124" s="7">
        <v>200</v>
      </c>
      <c r="D124" s="20">
        <f>217.78</f>
        <v>217.78</v>
      </c>
    </row>
    <row r="125" spans="1:4" s="14" customFormat="1" ht="79.5" customHeight="1">
      <c r="A125" s="22" t="s">
        <v>247</v>
      </c>
      <c r="B125" s="7" t="s">
        <v>244</v>
      </c>
      <c r="C125" s="7">
        <v>200</v>
      </c>
      <c r="D125" s="20">
        <f>80000</f>
        <v>80000</v>
      </c>
    </row>
    <row r="126" spans="1:4" s="14" customFormat="1" ht="81" customHeight="1">
      <c r="A126" s="22" t="s">
        <v>248</v>
      </c>
      <c r="B126" s="7" t="s">
        <v>245</v>
      </c>
      <c r="C126" s="7">
        <v>200</v>
      </c>
      <c r="D126" s="20">
        <f>80000</f>
        <v>80000</v>
      </c>
    </row>
    <row r="127" spans="1:4" s="14" customFormat="1" ht="120" customHeight="1">
      <c r="A127" s="22" t="s">
        <v>266</v>
      </c>
      <c r="B127" s="7" t="s">
        <v>257</v>
      </c>
      <c r="C127" s="7">
        <v>200</v>
      </c>
      <c r="D127" s="20">
        <f>21000</f>
        <v>21000</v>
      </c>
    </row>
    <row r="128" spans="1:4" s="14" customFormat="1" ht="119.25" customHeight="1">
      <c r="A128" s="22" t="s">
        <v>267</v>
      </c>
      <c r="B128" s="7" t="s">
        <v>258</v>
      </c>
      <c r="C128" s="7">
        <v>200</v>
      </c>
      <c r="D128" s="20">
        <f>21000</f>
        <v>21000</v>
      </c>
    </row>
    <row r="129" spans="1:4" s="14" customFormat="1" ht="116.25" customHeight="1">
      <c r="A129" s="22" t="s">
        <v>268</v>
      </c>
      <c r="B129" s="7" t="s">
        <v>259</v>
      </c>
      <c r="C129" s="7">
        <v>200</v>
      </c>
      <c r="D129" s="20">
        <f>21000</f>
        <v>21000</v>
      </c>
    </row>
    <row r="130" spans="1:4" s="14" customFormat="1" ht="41.25" customHeight="1">
      <c r="A130" s="26" t="s">
        <v>207</v>
      </c>
      <c r="B130" s="16" t="s">
        <v>208</v>
      </c>
      <c r="C130" s="7"/>
      <c r="D130" s="20">
        <f>SUM(D131:D131)</f>
        <v>3174000</v>
      </c>
    </row>
    <row r="131" spans="1:4" s="14" customFormat="1" ht="123.75" customHeight="1">
      <c r="A131" s="22" t="s">
        <v>252</v>
      </c>
      <c r="B131" s="7" t="s">
        <v>251</v>
      </c>
      <c r="C131" s="7">
        <v>200</v>
      </c>
      <c r="D131" s="20">
        <f>412620+2694726+66654</f>
        <v>3174000</v>
      </c>
    </row>
    <row r="132" spans="1:4" s="13" customFormat="1" ht="39.75" customHeight="1">
      <c r="A132" s="27" t="s">
        <v>113</v>
      </c>
      <c r="B132" s="11" t="s">
        <v>114</v>
      </c>
      <c r="C132" s="11"/>
      <c r="D132" s="12">
        <f>D133</f>
        <v>2693333.11</v>
      </c>
    </row>
    <row r="133" spans="1:4" s="14" customFormat="1" ht="58.5" customHeight="1">
      <c r="A133" s="10" t="s">
        <v>29</v>
      </c>
      <c r="B133" s="11" t="s">
        <v>16</v>
      </c>
      <c r="C133" s="11"/>
      <c r="D133" s="12">
        <f>SUM(D134:D137)</f>
        <v>2693333.11</v>
      </c>
    </row>
    <row r="134" spans="1:4" ht="138.75" customHeight="1">
      <c r="A134" s="22" t="s">
        <v>107</v>
      </c>
      <c r="B134" s="7" t="s">
        <v>17</v>
      </c>
      <c r="C134" s="7">
        <v>100</v>
      </c>
      <c r="D134" s="20">
        <f>848121.96+8469.21+2556.38</f>
        <v>859147.5499999999</v>
      </c>
    </row>
    <row r="135" spans="1:4" ht="137.25" customHeight="1">
      <c r="A135" s="22" t="s">
        <v>84</v>
      </c>
      <c r="B135" s="7" t="s">
        <v>63</v>
      </c>
      <c r="C135" s="7">
        <v>100</v>
      </c>
      <c r="D135" s="20">
        <f>1243500.8+6444.12+2132.7+30713+9287+11839.49+3546.91</f>
        <v>1307464.02</v>
      </c>
    </row>
    <row r="136" spans="1:4" ht="100.5" customHeight="1">
      <c r="A136" s="22" t="s">
        <v>85</v>
      </c>
      <c r="B136" s="7" t="s">
        <v>63</v>
      </c>
      <c r="C136" s="7">
        <v>200</v>
      </c>
      <c r="D136" s="20">
        <f>484466+30415.54-40000+20000</f>
        <v>494881.54</v>
      </c>
    </row>
    <row r="137" spans="1:4" ht="59.25" customHeight="1">
      <c r="A137" s="22" t="s">
        <v>138</v>
      </c>
      <c r="B137" s="7" t="s">
        <v>139</v>
      </c>
      <c r="C137" s="7">
        <v>800</v>
      </c>
      <c r="D137" s="20">
        <f>31840</f>
        <v>31840</v>
      </c>
    </row>
    <row r="138" spans="1:4" s="13" customFormat="1" ht="58.5" customHeight="1">
      <c r="A138" s="10" t="s">
        <v>111</v>
      </c>
      <c r="B138" s="11" t="s">
        <v>112</v>
      </c>
      <c r="C138" s="11"/>
      <c r="D138" s="12">
        <f>D139</f>
        <v>723310.6000000001</v>
      </c>
    </row>
    <row r="139" spans="1:4" s="24" customFormat="1" ht="80.25" customHeight="1">
      <c r="A139" s="10" t="s">
        <v>30</v>
      </c>
      <c r="B139" s="11" t="s">
        <v>18</v>
      </c>
      <c r="C139" s="23"/>
      <c r="D139" s="12">
        <f>SUM(D140:E149)</f>
        <v>723310.6000000001</v>
      </c>
    </row>
    <row r="140" spans="1:4" s="24" customFormat="1" ht="138.75" customHeight="1">
      <c r="A140" s="19" t="s">
        <v>218</v>
      </c>
      <c r="B140" s="7" t="s">
        <v>219</v>
      </c>
      <c r="C140" s="7">
        <v>500</v>
      </c>
      <c r="D140" s="20">
        <f>3600</f>
        <v>3600</v>
      </c>
    </row>
    <row r="141" spans="1:4" s="18" customFormat="1" ht="41.25" customHeight="1">
      <c r="A141" s="22" t="s">
        <v>125</v>
      </c>
      <c r="B141" s="7" t="s">
        <v>126</v>
      </c>
      <c r="C141" s="7">
        <v>800</v>
      </c>
      <c r="D141" s="20">
        <f>70000</f>
        <v>70000</v>
      </c>
    </row>
    <row r="142" spans="1:4" s="18" customFormat="1" ht="97.5" customHeight="1">
      <c r="A142" s="22" t="s">
        <v>132</v>
      </c>
      <c r="B142" s="7" t="s">
        <v>133</v>
      </c>
      <c r="C142" s="7">
        <v>200</v>
      </c>
      <c r="D142" s="20">
        <f>36000</f>
        <v>36000</v>
      </c>
    </row>
    <row r="143" spans="1:4" s="18" customFormat="1" ht="96.75" customHeight="1">
      <c r="A143" s="22" t="s">
        <v>200</v>
      </c>
      <c r="B143" s="7" t="s">
        <v>127</v>
      </c>
      <c r="C143" s="7">
        <v>200</v>
      </c>
      <c r="D143" s="20">
        <f>200000</f>
        <v>200000</v>
      </c>
    </row>
    <row r="144" spans="1:4" s="18" customFormat="1" ht="115.5" customHeight="1">
      <c r="A144" s="22" t="s">
        <v>148</v>
      </c>
      <c r="B144" s="7" t="s">
        <v>149</v>
      </c>
      <c r="C144" s="7">
        <v>200</v>
      </c>
      <c r="D144" s="20">
        <f>65000-30176.6</f>
        <v>34823.4</v>
      </c>
    </row>
    <row r="145" spans="1:4" ht="78.75" customHeight="1">
      <c r="A145" s="22" t="s">
        <v>86</v>
      </c>
      <c r="B145" s="7" t="s">
        <v>64</v>
      </c>
      <c r="C145" s="7">
        <v>300</v>
      </c>
      <c r="D145" s="20">
        <f>248536.2</f>
        <v>248536.2</v>
      </c>
    </row>
    <row r="146" spans="1:4" ht="119.25" customHeight="1">
      <c r="A146" s="22" t="s">
        <v>262</v>
      </c>
      <c r="B146" s="7" t="s">
        <v>260</v>
      </c>
      <c r="C146" s="7">
        <v>200</v>
      </c>
      <c r="D146" s="20">
        <v>27666.89</v>
      </c>
    </row>
    <row r="147" spans="1:4" ht="90.75" customHeight="1">
      <c r="A147" s="22" t="s">
        <v>264</v>
      </c>
      <c r="B147" s="7" t="s">
        <v>260</v>
      </c>
      <c r="C147" s="7">
        <v>800</v>
      </c>
      <c r="D147" s="20">
        <v>2000</v>
      </c>
    </row>
    <row r="148" spans="1:4" ht="195.75" customHeight="1">
      <c r="A148" s="22" t="s">
        <v>263</v>
      </c>
      <c r="B148" s="7" t="s">
        <v>261</v>
      </c>
      <c r="C148" s="7">
        <v>200</v>
      </c>
      <c r="D148" s="20">
        <v>99097.64</v>
      </c>
    </row>
    <row r="149" spans="1:4" ht="165" customHeight="1">
      <c r="A149" s="22" t="s">
        <v>265</v>
      </c>
      <c r="B149" s="7" t="s">
        <v>261</v>
      </c>
      <c r="C149" s="7">
        <v>800</v>
      </c>
      <c r="D149" s="20">
        <v>1586.47</v>
      </c>
    </row>
    <row r="150" spans="1:4" s="13" customFormat="1" ht="32.25" customHeight="1">
      <c r="A150" s="36" t="s">
        <v>201</v>
      </c>
      <c r="B150" s="36"/>
      <c r="C150" s="36"/>
      <c r="D150" s="12">
        <f>D24+D40+D110+D132+D138+D120</f>
        <v>106847234.82000001</v>
      </c>
    </row>
    <row r="151" ht="18.75">
      <c r="D151" s="29" t="s">
        <v>228</v>
      </c>
    </row>
    <row r="152" spans="2:4" s="14" customFormat="1" ht="18.75">
      <c r="B152" s="30"/>
      <c r="C152" s="31"/>
      <c r="D152" s="32"/>
    </row>
    <row r="155" spans="1:4" s="14" customFormat="1" ht="18.75">
      <c r="A155" s="33"/>
      <c r="B155" s="30"/>
      <c r="C155" s="31"/>
      <c r="D155" s="32"/>
    </row>
    <row r="156" spans="1:4" s="14" customFormat="1" ht="18.75">
      <c r="A156" s="34"/>
      <c r="B156" s="30"/>
      <c r="C156" s="31"/>
      <c r="D156" s="32"/>
    </row>
    <row r="157" ht="18.75">
      <c r="D157" s="32"/>
    </row>
  </sheetData>
  <sheetProtection/>
  <mergeCells count="19">
    <mergeCell ref="A7:E7"/>
    <mergeCell ref="A8:E8"/>
    <mergeCell ref="A9:D9"/>
    <mergeCell ref="A10:D10"/>
    <mergeCell ref="A1:E1"/>
    <mergeCell ref="A2:E2"/>
    <mergeCell ref="A3:E3"/>
    <mergeCell ref="A4:E4"/>
    <mergeCell ref="A5:E5"/>
    <mergeCell ref="A6:E6"/>
    <mergeCell ref="A150:C150"/>
    <mergeCell ref="A11:D11"/>
    <mergeCell ref="A12:D12"/>
    <mergeCell ref="A13:D13"/>
    <mergeCell ref="A14:D14"/>
    <mergeCell ref="A15:D15"/>
    <mergeCell ref="A16:D16"/>
    <mergeCell ref="A17:D17"/>
    <mergeCell ref="A20:D20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2022-03-22T08:37:06Z</dcterms:modified>
  <cp:category/>
  <cp:version/>
  <cp:contentType/>
  <cp:contentStatus/>
</cp:coreProperties>
</file>