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<sst xmlns="http://schemas.openxmlformats.org/spreadsheetml/2006/main" count="326" uniqueCount="321">
  <si>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</si>
  <si>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</si>
  <si>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</si>
  <si>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</si>
  <si>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</si>
  <si>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</si>
  <si>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</si>
  <si>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</si>
  <si>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</si>
  <si>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</si>
  <si>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</si>
  <si>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</si>
  <si>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</si>
  <si>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</si>
  <si>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</si>
  <si>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</si>
  <si>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</si>
  <si>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</si>
  <si>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</si>
  <si>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</si>
  <si>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</si>
  <si>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</si>
  <si>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</si>
  <si>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</si>
  <si>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</si>
  <si>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</si>
  <si>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</si>
  <si>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</si>
  <si>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</si>
  <si>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</si>
  <si>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</si>
  <si>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</si>
  <si>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</si>
  <si>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</si>
  <si>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</si>
  <si>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</si>
  <si>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</si>
  <si>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</si>
  <si>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</si>
  <si>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</si>
  <si>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</si>
  <si>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</si>
  <si>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</si>
  <si>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</si>
  <si>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</si>
  <si>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</si>
  <si>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</si>
  <si>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</si>
  <si>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</si>
  <si>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</si>
  <si>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</si>
  <si>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</si>
  <si>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</si>
  <si>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</si>
  <si>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</si>
  <si>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</si>
  <si>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</si>
  <si>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</si>
  <si>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</si>
  <si>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</si>
  <si>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</si>
  <si>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</si>
  <si>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</si>
  <si>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</si>
  <si>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</si>
  <si>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</si>
  <si>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</si>
  <si>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</si>
  <si>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</si>
  <si>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</si>
  <si>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</si>
  <si>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</si>
  <si>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</si>
  <si>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</si>
  <si>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</si>
  <si>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</si>
  <si>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</si>
  <si>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</si>
  <si>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</si>
  <si>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</si>
  <si>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</si>
  <si>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</si>
  <si>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</si>
  <si>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</si>
  <si>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</si>
  <si>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</si>
  <si>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</si>
  <si>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</si>
  <si>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</si>
  <si>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</si>
  <si>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</si>
  <si>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</si>
  <si>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</si>
  <si>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</si>
  <si>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</si>
  <si>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</si>
  <si>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</si>
  <si>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</si>
  <si>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</si>
  <si>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</si>
  <si>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</si>
  <si>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</si>
  <si>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</si>
  <si>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</si>
  <si>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</si>
  <si>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</si>
  <si>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</si>
  <si>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</si>
  <si>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</si>
  <si>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</si>
  <si>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</si>
  <si>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</si>
  <si>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</si>
  <si>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</si>
  <si>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</si>
  <si>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</si>
  <si>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</si>
  <si>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</si>
  <si>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</si>
  <si>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</si>
  <si>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</si>
  <si>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</si>
  <si>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</si>
  <si>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</si>
  <si>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</si>
  <si>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</si>
  <si>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</si>
  <si>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</si>
  <si>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</si>
  <si>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</si>
  <si>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</si>
  <si>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</si>
  <si>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</si>
  <si>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</si>
  <si>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</si>
  <si>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</si>
  <si>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</si>
  <si>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</si>
  <si>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</si>
  <si>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</si>
  <si>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</si>
  <si>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</si>
  <si>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</si>
  <si>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</si>
  <si>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</si>
  <si>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</si>
  <si>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</si>
  <si>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</si>
  <si>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</si>
  <si>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</si>
  <si>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</si>
  <si>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</si>
  <si>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</si>
  <si>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</si>
  <si>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</si>
  <si>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</si>
  <si>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</si>
  <si>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</si>
  <si>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</si>
  <si>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</si>
  <si>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</si>
  <si>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</si>
  <si>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</si>
  <si>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</si>
  <si>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</si>
  <si>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</si>
  <si>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</si>
  <si>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</si>
  <si>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</si>
  <si>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</si>
  <si>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</si>
  <si>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</si>
  <si>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</si>
  <si>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</si>
  <si>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</si>
  <si>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</si>
  <si>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</si>
  <si>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</si>
  <si>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</si>
  <si>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</si>
  <si>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</si>
  <si>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</si>
  <si>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</si>
  <si>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</si>
  <si>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</si>
  <si>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</si>
  <si>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</si>
  <si>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</si>
  <si>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</si>
  <si>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</si>
  <si>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</si>
  <si>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</si>
  <si>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</si>
  <si>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</si>
  <si>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</si>
  <si>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</si>
  <si>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</si>
  <si>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</si>
  <si>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</si>
  <si>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</si>
  <si>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</si>
  <si>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</si>
  <si>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</si>
  <si>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</si>
  <si>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</si>
  <si>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</si>
  <si>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</si>
  <si>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</si>
  <si>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</si>
  <si>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</si>
  <si>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</si>
  <si>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</si>
  <si>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</si>
  <si>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</si>
  <si>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</si>
  <si>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</si>
  <si>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</si>
  <si>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</si>
  <si>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</si>
  <si>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</si>
  <si>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</si>
  <si>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</si>
  <si>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</si>
  <si>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</si>
  <si>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</si>
  <si>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</si>
  <si>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</si>
  <si>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</si>
  <si>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</si>
  <si>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</si>
  <si>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</si>
  <si>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</si>
  <si>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</si>
  <si>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</si>
  <si>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</si>
  <si>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</si>
  <si>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06 1 01 21560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</si>
  <si>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</si>
  <si>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</si>
  <si>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</si>
  <si>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</si>
  <si>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</si>
  <si>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</si>
  <si>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</si>
  <si>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</si>
  <si>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</si>
  <si>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</si>
  <si>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</si>
  <si>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</si>
  <si>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</si>
  <si>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31 9 00 10010</t>
  </si>
  <si>
    <t>Содержание и обслуживание казны  (Закупка товаров, работ и услуг для обеспечения государственных (муниципальных) нужд)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</si>
  <si>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</si>
  <si>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</si>
  <si>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</si>
  <si>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</si>
  <si>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</si>
  <si>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</si>
  <si>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</si>
  <si>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</si>
  <si>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</si>
  <si>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</si>
  <si>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</si>
  <si>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06 1 01 21690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</si>
  <si>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</si>
  <si>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</si>
  <si>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</si>
  <si>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</si>
  <si>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</si>
  <si>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</si>
  <si>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</si>
  <si>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</si>
  <si>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</si>
  <si>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</si>
  <si>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</si>
  <si>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</si>
  <si>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</si>
  <si>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</si>
  <si>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</si>
  <si>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</si>
  <si>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</si>
  <si>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</si>
  <si>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</si>
  <si>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</si>
  <si>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</si>
  <si>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</si>
  <si>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</si>
  <si>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</si>
  <si>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</si>
  <si>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</si>
  <si>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01 4  01 L2990</t>
  </si>
  <si>
    <t>02 3 01 21710</t>
  </si>
  <si>
    <t>31 9 00 90360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</si>
  <si>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</si>
  <si>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</si>
  <si>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02 2 01 21720</t>
  </si>
  <si>
    <t>Проверка достоверности определения сметной стоимости объекта: Комплексного благоустройства городского центра города Южи. Этап 2. Территория № 4 (Городской сад в городе Южа с прилегающей  территорией Народного Дома культуры и ул. Советская)  с выдачей заключения (Закупка товаров, работ и услуг для обеспечения государственных (муниципальных) нужд)</t>
  </si>
  <si>
    <t>06 1 01 21730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</si>
  <si>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</si>
  <si>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01 2 01 00280</t>
  </si>
  <si>
    <t>01 2 01 00290</t>
  </si>
  <si>
    <t>Оказание услуг по испытанию работоспособности установок  автоматической системы пожарной сигнализации и определению уровня звукового сигнала системы оповещения  и управления  эвакуаций людей  (Предоставление субсидий бюджетным, автономным учреждениям и иным некоммерческим организациям)</t>
  </si>
  <si>
    <t>Государственная экспертиза проектной документации и (или) результатов инженерных изысканий: "Капитальный ремонт части здания объекта культурного наследия местного (муниципального) значения "Народный дом", расположенного  по адресу Ивановская обл., ул. Советская, д. 9" (Предоставление субсидий бюджетным, автономным учреждениям и иным некоммерческим организациям)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</si>
  <si>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</si>
  <si>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</si>
  <si>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31 9 00 90370</t>
  </si>
  <si>
    <t>31 9 00 90380</t>
  </si>
  <si>
    <t>31 9 00 90390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</si>
  <si>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(Закупка товаров, работ и услуг для обеспечения государственных (муниципальных) нужд)  </t>
  </si>
  <si>
    <t>Оплата административного штрафа (в соответствии с постановлением по делу об административном  правонарушении  от 07.10.2021 года, АД № 1151/21/37023-АП от 29.09.2021) (Иные бюджетные ассигнования)</t>
  </si>
  <si>
    <t>Оплата административного штрафа (в соответствии с постановлением по делу об административном  правонарушении  от 07.10.2021 года, АД № 1150/21/37023-АП от 29.09.2021) (Иные бюджетные ассигнования)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</si>
  <si>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(Иные бюджетные ассигнования)  </t>
  </si>
  <si>
    <t>Приложение № 3</t>
  </si>
  <si>
    <t>01 2 01 00300</t>
  </si>
  <si>
    <t>Сметная документация на текущий ремонт Нефёдовского СДК  муниципального бюджетного учреждения "Южская клубная система"   (Предоставление субсидий бюджетным, автономным учреждениям и иным некоммерческим организациям)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</si>
  <si>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</si>
  <si>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</si>
  <si>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31 9 00 90400</t>
  </si>
  <si>
    <t xml:space="preserve">Оплата задолженности  ООО "Объединенным котельным"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(Закупка товаров, работ и услуг для обеспечения государственных (муниципальных) нужд) </t>
  </si>
  <si>
    <t>Оплата задолженности  ООО "Объединенным котельным"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(Иные бюджетные ассигнования)</t>
  </si>
  <si>
    <t>от 16.12.2021  № 83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</si>
</sst>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1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justify" vertical="top" wrapText="1"/>
    </xf>
    <xf numFmtId="4" fontId="6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46" fillId="0" borderId="0" xfId="0" applyFont="1" applyFill="1" applyAlignment="1">
      <alignment/>
    </xf>
    <xf numFmtId="4" fontId="7" fillId="0" borderId="0" xfId="0" applyNumberFormat="1" applyFont="1" applyFill="1" applyAlignment="1">
      <alignment vertical="center"/>
    </xf>
    <xf numFmtId="0" fontId="8" fillId="0" borderId="11" xfId="0" applyFont="1" applyFill="1" applyBorder="1" applyAlignment="1">
      <alignment horizontal="justify" vertical="center" wrapText="1"/>
    </xf>
    <xf numFmtId="4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" fontId="46" fillId="0" borderId="0" xfId="0" applyNumberFormat="1" applyFont="1" applyFill="1" applyAlignment="1">
      <alignment vertical="center"/>
    </xf>
    <xf numFmtId="4" fontId="47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zoomScale="90" zoomScaleNormal="90" zoomScalePageLayoutView="0" workbookViewId="0" topLeftCell="A5">
      <selection activeCell="A5" sqref="A1:IV16384"/>
    </sheetView>
  </sheetViews>
  <sheetFormatPr defaultColWidth="9.140625" defaultRowHeight="15"/>
  <cols>
    <col min="1" max="1" width="62.57421875" style="2" customWidth="1"/>
    <col min="2" max="2" width="19.00390625" style="15" customWidth="1"/>
    <col min="3" max="3" width="9.7109375" style="5" customWidth="1"/>
    <col min="4" max="4" width="19.00390625" style="2" customWidth="1"/>
    <col min="5" max="5" width="23.00390625" style="2" customWidth="1"/>
    <col min="6" max="6" width="12.140625" style="2" customWidth="1"/>
    <col min="7" max="16384" width="9.140625" style="2" customWidth="1"/>
  </cols>
  <sheetData>
    <row r="1" spans="1:4" ht="18.75">
      <c r="A1" s="1" t="s">
        <v>312</v>
      </c>
      <c r="B1" s="1"/>
      <c r="C1" s="1"/>
      <c r="D1" s="1"/>
    </row>
    <row r="2" spans="1:4" ht="18.75">
      <c r="A2" s="1" t="s">
        <v>278</v>
      </c>
      <c r="B2" s="1"/>
      <c r="C2" s="1"/>
      <c r="D2" s="1"/>
    </row>
    <row r="3" spans="1:4" ht="18.75">
      <c r="A3" s="1" t="s">
        <v>279</v>
      </c>
      <c r="B3" s="1"/>
      <c r="C3" s="1"/>
      <c r="D3" s="1"/>
    </row>
    <row r="4" spans="1:4" ht="18.75">
      <c r="A4" s="1" t="s">
        <v>280</v>
      </c>
      <c r="B4" s="1"/>
      <c r="C4" s="1"/>
      <c r="D4" s="1"/>
    </row>
    <row r="5" spans="1:4" ht="75" customHeight="1">
      <c r="A5" s="3" t="s">
        <v>281</v>
      </c>
      <c r="B5" s="3"/>
      <c r="C5" s="3"/>
      <c r="D5" s="3"/>
    </row>
    <row r="6" spans="1:4" ht="18.75">
      <c r="A6" s="1" t="s">
        <v>282</v>
      </c>
      <c r="B6" s="1"/>
      <c r="C6" s="1"/>
      <c r="D6" s="1"/>
    </row>
    <row r="7" spans="1:4" ht="18.75">
      <c r="A7" s="1" t="s">
        <v>283</v>
      </c>
      <c r="B7" s="1"/>
      <c r="C7" s="1"/>
      <c r="D7" s="1"/>
    </row>
    <row r="8" spans="1:4" ht="18.75">
      <c r="A8" s="1" t="s">
        <v>320</v>
      </c>
      <c r="B8" s="1"/>
      <c r="C8" s="1"/>
      <c r="D8" s="1"/>
    </row>
    <row r="9" spans="1:4" ht="18.75">
      <c r="A9" s="4"/>
      <c r="B9" s="5"/>
      <c r="D9" s="4"/>
    </row>
    <row r="10" spans="1:4" ht="18.75">
      <c r="A10" s="6" t="s">
        <v>284</v>
      </c>
      <c r="B10" s="6"/>
      <c r="C10" s="6"/>
      <c r="D10" s="6"/>
    </row>
    <row r="11" spans="1:4" ht="18.75">
      <c r="A11" s="6" t="s">
        <v>161</v>
      </c>
      <c r="B11" s="6"/>
      <c r="C11" s="6"/>
      <c r="D11" s="6"/>
    </row>
    <row r="12" spans="1:4" ht="18.75">
      <c r="A12" s="6" t="s">
        <v>162</v>
      </c>
      <c r="B12" s="6"/>
      <c r="C12" s="6"/>
      <c r="D12" s="6"/>
    </row>
    <row r="13" spans="1:4" ht="18.75">
      <c r="A13" s="6" t="s">
        <v>163</v>
      </c>
      <c r="B13" s="6"/>
      <c r="C13" s="6"/>
      <c r="D13" s="6"/>
    </row>
    <row r="14" spans="1:4" ht="18.75">
      <c r="A14" s="6" t="s">
        <v>164</v>
      </c>
      <c r="B14" s="6"/>
      <c r="C14" s="6"/>
      <c r="D14" s="6"/>
    </row>
    <row r="15" spans="1:4" ht="76.5" customHeight="1">
      <c r="A15" s="7" t="s">
        <v>165</v>
      </c>
      <c r="B15" s="7"/>
      <c r="C15" s="7"/>
      <c r="D15" s="7"/>
    </row>
    <row r="16" spans="1:4" ht="27" customHeight="1">
      <c r="A16" s="6" t="s">
        <v>193</v>
      </c>
      <c r="B16" s="6"/>
      <c r="C16" s="6"/>
      <c r="D16" s="6"/>
    </row>
    <row r="18" spans="1:4" s="4" customFormat="1" ht="137.25" customHeight="1">
      <c r="A18" s="8" t="s">
        <v>166</v>
      </c>
      <c r="B18" s="8"/>
      <c r="C18" s="8"/>
      <c r="D18" s="8"/>
    </row>
    <row r="19" spans="2:3" ht="9" customHeight="1">
      <c r="B19" s="9"/>
      <c r="C19" s="9"/>
    </row>
    <row r="20" spans="1:4" ht="59.25" customHeight="1">
      <c r="A20" s="10" t="s">
        <v>108</v>
      </c>
      <c r="B20" s="10" t="s">
        <v>109</v>
      </c>
      <c r="C20" s="11" t="s">
        <v>110</v>
      </c>
      <c r="D20" s="12" t="s">
        <v>111</v>
      </c>
    </row>
    <row r="21" spans="1:4" s="15" customFormat="1" ht="18.75">
      <c r="A21" s="13">
        <v>1</v>
      </c>
      <c r="B21" s="13">
        <v>2</v>
      </c>
      <c r="C21" s="13">
        <v>3</v>
      </c>
      <c r="D21" s="14">
        <v>4</v>
      </c>
    </row>
    <row r="22" spans="1:4" s="19" customFormat="1" ht="56.25">
      <c r="A22" s="16" t="s">
        <v>88</v>
      </c>
      <c r="B22" s="17" t="s">
        <v>0</v>
      </c>
      <c r="C22" s="12"/>
      <c r="D22" s="18">
        <f>D23+D26+D43</f>
        <v>26541270.43</v>
      </c>
    </row>
    <row r="23" spans="1:4" s="19" customFormat="1" ht="58.5" customHeight="1">
      <c r="A23" s="16" t="s">
        <v>21</v>
      </c>
      <c r="B23" s="17" t="s">
        <v>1</v>
      </c>
      <c r="C23" s="17"/>
      <c r="D23" s="18">
        <f>D24</f>
        <v>44800</v>
      </c>
    </row>
    <row r="24" spans="1:4" s="23" customFormat="1" ht="56.25">
      <c r="A24" s="20" t="s">
        <v>20</v>
      </c>
      <c r="B24" s="21" t="s">
        <v>19</v>
      </c>
      <c r="C24" s="21"/>
      <c r="D24" s="22">
        <f>D25</f>
        <v>44800</v>
      </c>
    </row>
    <row r="25" spans="1:4" ht="136.5" customHeight="1">
      <c r="A25" s="24" t="s">
        <v>120</v>
      </c>
      <c r="B25" s="12" t="s">
        <v>65</v>
      </c>
      <c r="C25" s="12">
        <v>600</v>
      </c>
      <c r="D25" s="25">
        <f>100000-55200</f>
        <v>44800</v>
      </c>
    </row>
    <row r="26" spans="1:4" ht="58.5" customHeight="1">
      <c r="A26" s="16" t="s">
        <v>87</v>
      </c>
      <c r="B26" s="17" t="s">
        <v>2</v>
      </c>
      <c r="C26" s="12"/>
      <c r="D26" s="18">
        <f>D27</f>
        <v>26450161.43</v>
      </c>
    </row>
    <row r="27" spans="1:4" s="23" customFormat="1" ht="78" customHeight="1">
      <c r="A27" s="26" t="s">
        <v>24</v>
      </c>
      <c r="B27" s="21" t="s">
        <v>3</v>
      </c>
      <c r="C27" s="21"/>
      <c r="D27" s="22">
        <f>SUM(D28:D42)</f>
        <v>26450161.43</v>
      </c>
    </row>
    <row r="28" spans="1:4" ht="97.5" customHeight="1">
      <c r="A28" s="27" t="s">
        <v>121</v>
      </c>
      <c r="B28" s="12" t="s">
        <v>58</v>
      </c>
      <c r="C28" s="12">
        <v>600</v>
      </c>
      <c r="D28" s="25">
        <f>16560366.69+227549.52+18349.29+203628.35</f>
        <v>17009893.85</v>
      </c>
    </row>
    <row r="29" spans="1:4" ht="137.25" customHeight="1">
      <c r="A29" s="27" t="s">
        <v>218</v>
      </c>
      <c r="B29" s="12" t="s">
        <v>227</v>
      </c>
      <c r="C29" s="12">
        <v>600</v>
      </c>
      <c r="D29" s="25">
        <f>180000</f>
        <v>180000</v>
      </c>
    </row>
    <row r="30" spans="1:4" ht="138.75" customHeight="1">
      <c r="A30" s="27" t="s">
        <v>301</v>
      </c>
      <c r="B30" s="12" t="s">
        <v>299</v>
      </c>
      <c r="C30" s="12">
        <v>600</v>
      </c>
      <c r="D30" s="25">
        <f>15000</f>
        <v>15000</v>
      </c>
    </row>
    <row r="31" spans="1:4" ht="158.25" customHeight="1">
      <c r="A31" s="27" t="s">
        <v>302</v>
      </c>
      <c r="B31" s="12" t="s">
        <v>300</v>
      </c>
      <c r="C31" s="12">
        <v>600</v>
      </c>
      <c r="D31" s="25">
        <f>154689.88-108628.35</f>
        <v>46061.53</v>
      </c>
    </row>
    <row r="32" spans="1:4" ht="98.25" customHeight="1">
      <c r="A32" s="27" t="s">
        <v>314</v>
      </c>
      <c r="B32" s="12" t="s">
        <v>313</v>
      </c>
      <c r="C32" s="12">
        <v>600</v>
      </c>
      <c r="D32" s="25">
        <f>17000</f>
        <v>17000</v>
      </c>
    </row>
    <row r="33" spans="1:4" ht="60" customHeight="1">
      <c r="A33" s="24" t="s">
        <v>31</v>
      </c>
      <c r="B33" s="12" t="s">
        <v>57</v>
      </c>
      <c r="C33" s="12">
        <v>600</v>
      </c>
      <c r="D33" s="25">
        <f>33440-24490</f>
        <v>8950</v>
      </c>
    </row>
    <row r="34" spans="1:4" ht="58.5" customHeight="1">
      <c r="A34" s="24" t="s">
        <v>32</v>
      </c>
      <c r="B34" s="12" t="s">
        <v>66</v>
      </c>
      <c r="C34" s="12">
        <v>600</v>
      </c>
      <c r="D34" s="25">
        <f>5280</f>
        <v>5280</v>
      </c>
    </row>
    <row r="35" spans="1:4" ht="77.25" customHeight="1">
      <c r="A35" s="24" t="s">
        <v>33</v>
      </c>
      <c r="B35" s="12" t="s">
        <v>67</v>
      </c>
      <c r="C35" s="12">
        <v>600</v>
      </c>
      <c r="D35" s="25">
        <f>200000+618928-188039.17-29129-101010+13500</f>
        <v>514249.82999999996</v>
      </c>
    </row>
    <row r="36" spans="1:4" ht="77.25" customHeight="1">
      <c r="A36" s="27" t="s">
        <v>34</v>
      </c>
      <c r="B36" s="12" t="s">
        <v>68</v>
      </c>
      <c r="C36" s="12">
        <v>200</v>
      </c>
      <c r="D36" s="25">
        <f>77000-2315.45</f>
        <v>74684.55</v>
      </c>
    </row>
    <row r="37" spans="1:4" ht="97.5" customHeight="1">
      <c r="A37" s="27" t="s">
        <v>138</v>
      </c>
      <c r="B37" s="12" t="s">
        <v>139</v>
      </c>
      <c r="C37" s="12">
        <v>600</v>
      </c>
      <c r="D37" s="25">
        <f>150000</f>
        <v>150000</v>
      </c>
    </row>
    <row r="38" spans="1:4" ht="81.75" customHeight="1">
      <c r="A38" s="27" t="s">
        <v>316</v>
      </c>
      <c r="B38" s="12" t="s">
        <v>315</v>
      </c>
      <c r="C38" s="12">
        <v>600</v>
      </c>
      <c r="D38" s="25">
        <f>84329</f>
        <v>84329</v>
      </c>
    </row>
    <row r="39" spans="1:4" ht="97.5" customHeight="1">
      <c r="A39" s="27" t="s">
        <v>194</v>
      </c>
      <c r="B39" s="12" t="s">
        <v>195</v>
      </c>
      <c r="C39" s="12">
        <v>200</v>
      </c>
      <c r="D39" s="25">
        <f>28000+45000</f>
        <v>73000</v>
      </c>
    </row>
    <row r="40" spans="1:4" s="28" customFormat="1" ht="133.5" customHeight="1">
      <c r="A40" s="24" t="s">
        <v>170</v>
      </c>
      <c r="B40" s="12" t="s">
        <v>171</v>
      </c>
      <c r="C40" s="12">
        <v>600</v>
      </c>
      <c r="D40" s="25">
        <f>4637651+813623</f>
        <v>5451274</v>
      </c>
    </row>
    <row r="41" spans="1:6" ht="191.25" customHeight="1">
      <c r="A41" s="27" t="s">
        <v>122</v>
      </c>
      <c r="B41" s="12" t="s">
        <v>59</v>
      </c>
      <c r="C41" s="12">
        <v>600</v>
      </c>
      <c r="D41" s="25">
        <f>1121650.92</f>
        <v>1121650.92</v>
      </c>
      <c r="E41" s="29"/>
      <c r="F41" s="29"/>
    </row>
    <row r="42" spans="1:6" ht="94.5" customHeight="1">
      <c r="A42" s="27" t="s">
        <v>196</v>
      </c>
      <c r="B42" s="12" t="s">
        <v>197</v>
      </c>
      <c r="C42" s="12">
        <v>600</v>
      </c>
      <c r="D42" s="25">
        <f>85053.38-113.99+1613848.36</f>
        <v>1698787.75</v>
      </c>
      <c r="E42" s="29"/>
      <c r="F42" s="29"/>
    </row>
    <row r="43" spans="1:6" s="19" customFormat="1" ht="39" customHeight="1">
      <c r="A43" s="16" t="s">
        <v>286</v>
      </c>
      <c r="B43" s="17" t="s">
        <v>287</v>
      </c>
      <c r="C43" s="17"/>
      <c r="D43" s="18">
        <f>D44</f>
        <v>46309</v>
      </c>
      <c r="E43" s="29"/>
      <c r="F43" s="29"/>
    </row>
    <row r="44" spans="1:6" s="32" customFormat="1" ht="42.75" customHeight="1">
      <c r="A44" s="30" t="s">
        <v>288</v>
      </c>
      <c r="B44" s="21" t="s">
        <v>289</v>
      </c>
      <c r="C44" s="21"/>
      <c r="D44" s="22">
        <f>D45</f>
        <v>46309</v>
      </c>
      <c r="E44" s="31"/>
      <c r="F44" s="31"/>
    </row>
    <row r="45" spans="1:6" ht="99.75" customHeight="1">
      <c r="A45" s="27" t="s">
        <v>269</v>
      </c>
      <c r="B45" s="12" t="s">
        <v>290</v>
      </c>
      <c r="C45" s="12">
        <v>200</v>
      </c>
      <c r="D45" s="25">
        <f>2315.45+43993.55</f>
        <v>46309</v>
      </c>
      <c r="E45" s="29"/>
      <c r="F45" s="29"/>
    </row>
    <row r="46" spans="1:4" s="19" customFormat="1" ht="75">
      <c r="A46" s="16" t="s">
        <v>89</v>
      </c>
      <c r="B46" s="17" t="s">
        <v>4</v>
      </c>
      <c r="C46" s="17"/>
      <c r="D46" s="18">
        <f>D47+D60+D75+D93+D97+D100+D107+D111</f>
        <v>87732095.66000001</v>
      </c>
    </row>
    <row r="47" spans="1:4" s="19" customFormat="1" ht="56.25">
      <c r="A47" s="16" t="s">
        <v>36</v>
      </c>
      <c r="B47" s="17" t="s">
        <v>5</v>
      </c>
      <c r="C47" s="17"/>
      <c r="D47" s="18">
        <f>D48</f>
        <v>18091176.71</v>
      </c>
    </row>
    <row r="48" spans="1:4" s="23" customFormat="1" ht="78" customHeight="1">
      <c r="A48" s="26" t="s">
        <v>25</v>
      </c>
      <c r="B48" s="21" t="s">
        <v>6</v>
      </c>
      <c r="C48" s="21"/>
      <c r="D48" s="22">
        <f>SUM(D49:D59)</f>
        <v>18091176.71</v>
      </c>
    </row>
    <row r="49" spans="1:4" ht="78" customHeight="1">
      <c r="A49" s="27" t="s">
        <v>37</v>
      </c>
      <c r="B49" s="12" t="s">
        <v>60</v>
      </c>
      <c r="C49" s="12">
        <v>200</v>
      </c>
      <c r="D49" s="25">
        <f>480000-100000</f>
        <v>380000</v>
      </c>
    </row>
    <row r="50" spans="1:4" ht="114.75" customHeight="1">
      <c r="A50" s="27" t="s">
        <v>80</v>
      </c>
      <c r="B50" s="12" t="s">
        <v>69</v>
      </c>
      <c r="C50" s="12">
        <v>200</v>
      </c>
      <c r="D50" s="25">
        <f>1348056.37-45138.34</f>
        <v>1302918.03</v>
      </c>
    </row>
    <row r="51" spans="1:4" ht="76.5" customHeight="1">
      <c r="A51" s="27" t="s">
        <v>99</v>
      </c>
      <c r="B51" s="12" t="s">
        <v>100</v>
      </c>
      <c r="C51" s="12">
        <v>200</v>
      </c>
      <c r="D51" s="25">
        <f>100103-4415</f>
        <v>95688</v>
      </c>
    </row>
    <row r="52" spans="1:4" ht="76.5" customHeight="1">
      <c r="A52" s="27" t="s">
        <v>130</v>
      </c>
      <c r="B52" s="12" t="s">
        <v>131</v>
      </c>
      <c r="C52" s="12">
        <v>200</v>
      </c>
      <c r="D52" s="25">
        <f>353572+232984+37242+1255000-706735.19+20000-157774.12</f>
        <v>1034288.6900000001</v>
      </c>
    </row>
    <row r="53" spans="1:4" ht="96" customHeight="1">
      <c r="A53" s="24" t="s">
        <v>103</v>
      </c>
      <c r="B53" s="12" t="s">
        <v>104</v>
      </c>
      <c r="C53" s="12">
        <v>200</v>
      </c>
      <c r="D53" s="25">
        <f>29708.3</f>
        <v>29708.3</v>
      </c>
    </row>
    <row r="54" spans="1:4" ht="136.5" customHeight="1">
      <c r="A54" s="24" t="s">
        <v>132</v>
      </c>
      <c r="B54" s="12" t="s">
        <v>133</v>
      </c>
      <c r="C54" s="12">
        <v>200</v>
      </c>
      <c r="D54" s="25">
        <f>300000</f>
        <v>300000</v>
      </c>
    </row>
    <row r="55" spans="1:4" ht="121.5" customHeight="1">
      <c r="A55" s="27" t="s">
        <v>150</v>
      </c>
      <c r="B55" s="12" t="s">
        <v>151</v>
      </c>
      <c r="C55" s="12">
        <v>200</v>
      </c>
      <c r="D55" s="25">
        <f>1735402.64+2046131.36+9+371443.4+78008.12-20000</f>
        <v>4210994.52</v>
      </c>
    </row>
    <row r="56" spans="1:4" ht="139.5" customHeight="1">
      <c r="A56" s="27" t="s">
        <v>198</v>
      </c>
      <c r="B56" s="12" t="s">
        <v>199</v>
      </c>
      <c r="C56" s="12">
        <v>200</v>
      </c>
      <c r="D56" s="25">
        <f>1112337.02+706735.19</f>
        <v>1819072.21</v>
      </c>
    </row>
    <row r="57" spans="1:4" ht="135.75" customHeight="1">
      <c r="A57" s="24" t="s">
        <v>200</v>
      </c>
      <c r="B57" s="33" t="s">
        <v>201</v>
      </c>
      <c r="C57" s="12">
        <v>200</v>
      </c>
      <c r="D57" s="25">
        <f>454266.45+395733.55-223856.99-282439.68</f>
        <v>343703.33</v>
      </c>
    </row>
    <row r="58" spans="1:4" ht="270.75" customHeight="1">
      <c r="A58" s="24" t="s">
        <v>142</v>
      </c>
      <c r="B58" s="12" t="s">
        <v>143</v>
      </c>
      <c r="C58" s="12">
        <v>800</v>
      </c>
      <c r="D58" s="25">
        <f>233625.22+45922.52+31718.76+0.01+157774.12</f>
        <v>469040.63</v>
      </c>
    </row>
    <row r="59" spans="1:4" ht="81.75" customHeight="1">
      <c r="A59" s="24" t="s">
        <v>275</v>
      </c>
      <c r="B59" s="12" t="s">
        <v>274</v>
      </c>
      <c r="C59" s="12">
        <v>200</v>
      </c>
      <c r="D59" s="25">
        <f>8105763</f>
        <v>8105763</v>
      </c>
    </row>
    <row r="60" spans="1:4" s="23" customFormat="1" ht="37.5">
      <c r="A60" s="16" t="s">
        <v>38</v>
      </c>
      <c r="B60" s="17" t="s">
        <v>7</v>
      </c>
      <c r="C60" s="21"/>
      <c r="D60" s="18">
        <f>D61</f>
        <v>14680205.139999999</v>
      </c>
    </row>
    <row r="61" spans="1:4" s="23" customFormat="1" ht="56.25">
      <c r="A61" s="26" t="s">
        <v>35</v>
      </c>
      <c r="B61" s="21" t="s">
        <v>8</v>
      </c>
      <c r="C61" s="21"/>
      <c r="D61" s="22">
        <f>SUM(D62:D74)</f>
        <v>14680205.139999999</v>
      </c>
    </row>
    <row r="62" spans="1:6" ht="114.75" customHeight="1">
      <c r="A62" s="27" t="s">
        <v>86</v>
      </c>
      <c r="B62" s="12" t="s">
        <v>61</v>
      </c>
      <c r="C62" s="12">
        <v>200</v>
      </c>
      <c r="D62" s="25">
        <f>2273648.79+152300+5822.77+50332.68-5822.77</f>
        <v>2476281.47</v>
      </c>
      <c r="E62" s="29"/>
      <c r="F62" s="29"/>
    </row>
    <row r="63" spans="1:6" ht="99.75" customHeight="1">
      <c r="A63" s="27" t="s">
        <v>247</v>
      </c>
      <c r="B63" s="12" t="s">
        <v>246</v>
      </c>
      <c r="C63" s="12">
        <v>200</v>
      </c>
      <c r="D63" s="25">
        <f>1531744.8-173974.68</f>
        <v>1357770.12</v>
      </c>
      <c r="E63" s="29"/>
      <c r="F63" s="29"/>
    </row>
    <row r="64" spans="1:6" ht="97.5" customHeight="1">
      <c r="A64" s="27" t="s">
        <v>123</v>
      </c>
      <c r="B64" s="12" t="s">
        <v>70</v>
      </c>
      <c r="C64" s="12">
        <v>200</v>
      </c>
      <c r="D64" s="25">
        <f>6300000+396742.12+596592+185000-15000+520000</f>
        <v>7983334.12</v>
      </c>
      <c r="E64" s="29"/>
      <c r="F64" s="29"/>
    </row>
    <row r="65" spans="1:4" ht="63" customHeight="1">
      <c r="A65" s="27" t="s">
        <v>124</v>
      </c>
      <c r="B65" s="12" t="s">
        <v>71</v>
      </c>
      <c r="C65" s="12">
        <v>200</v>
      </c>
      <c r="D65" s="25">
        <f>142242.06+10000+43270+79999.37+5822.77+41000+94000+15000+218000+17210+15000</f>
        <v>681544.2</v>
      </c>
    </row>
    <row r="66" spans="1:6" ht="58.5" customHeight="1">
      <c r="A66" s="27" t="s">
        <v>39</v>
      </c>
      <c r="B66" s="12" t="s">
        <v>72</v>
      </c>
      <c r="C66" s="12">
        <v>200</v>
      </c>
      <c r="D66" s="25">
        <f>254873</f>
        <v>254873</v>
      </c>
      <c r="E66" s="29"/>
      <c r="F66" s="29"/>
    </row>
    <row r="67" spans="1:6" ht="78.75" customHeight="1">
      <c r="A67" s="27" t="s">
        <v>136</v>
      </c>
      <c r="B67" s="12" t="s">
        <v>137</v>
      </c>
      <c r="C67" s="12">
        <v>200</v>
      </c>
      <c r="D67" s="25">
        <f>525000-3501.85-1302.86</f>
        <v>520195.29000000004</v>
      </c>
      <c r="E67" s="29"/>
      <c r="F67" s="29"/>
    </row>
    <row r="68" spans="1:6" ht="83.25" customHeight="1">
      <c r="A68" s="27" t="s">
        <v>157</v>
      </c>
      <c r="B68" s="12" t="s">
        <v>178</v>
      </c>
      <c r="C68" s="12">
        <v>200</v>
      </c>
      <c r="D68" s="25">
        <f>220000-132984+143787+4524.26</f>
        <v>235327.26</v>
      </c>
      <c r="E68" s="29"/>
      <c r="F68" s="29"/>
    </row>
    <row r="69" spans="1:6" ht="81" customHeight="1">
      <c r="A69" s="24" t="s">
        <v>153</v>
      </c>
      <c r="B69" s="12" t="s">
        <v>152</v>
      </c>
      <c r="C69" s="12">
        <v>200</v>
      </c>
      <c r="D69" s="25">
        <f>520030-14472.4</f>
        <v>505557.6</v>
      </c>
      <c r="E69" s="29"/>
      <c r="F69" s="29"/>
    </row>
    <row r="70" spans="1:6" ht="153.75" customHeight="1">
      <c r="A70" s="24" t="s">
        <v>211</v>
      </c>
      <c r="B70" s="12" t="s">
        <v>202</v>
      </c>
      <c r="C70" s="12">
        <v>200</v>
      </c>
      <c r="D70" s="25">
        <f>1998+19440</f>
        <v>21438</v>
      </c>
      <c r="E70" s="29"/>
      <c r="F70" s="29"/>
    </row>
    <row r="71" spans="1:6" ht="61.5" customHeight="1">
      <c r="A71" s="24" t="s">
        <v>154</v>
      </c>
      <c r="B71" s="12" t="s">
        <v>167</v>
      </c>
      <c r="C71" s="12">
        <v>200</v>
      </c>
      <c r="D71" s="25">
        <f>200000-152300+225000-2700+157500+67500</f>
        <v>495000</v>
      </c>
      <c r="E71" s="29"/>
      <c r="F71" s="29"/>
    </row>
    <row r="72" spans="1:6" ht="124.5" customHeight="1">
      <c r="A72" s="24" t="s">
        <v>231</v>
      </c>
      <c r="B72" s="12" t="s">
        <v>230</v>
      </c>
      <c r="C72" s="12">
        <v>200</v>
      </c>
      <c r="D72" s="25">
        <f>136884.08</f>
        <v>136884.08</v>
      </c>
      <c r="E72" s="29"/>
      <c r="F72" s="29"/>
    </row>
    <row r="73" spans="1:6" ht="99" customHeight="1">
      <c r="A73" s="24" t="s">
        <v>260</v>
      </c>
      <c r="B73" s="12" t="s">
        <v>259</v>
      </c>
      <c r="C73" s="12">
        <v>200</v>
      </c>
      <c r="D73" s="25">
        <f>2000</f>
        <v>2000</v>
      </c>
      <c r="E73" s="29"/>
      <c r="F73" s="29"/>
    </row>
    <row r="74" spans="1:6" ht="159" customHeight="1">
      <c r="A74" s="24" t="s">
        <v>296</v>
      </c>
      <c r="B74" s="12" t="s">
        <v>295</v>
      </c>
      <c r="C74" s="12">
        <v>200</v>
      </c>
      <c r="D74" s="25">
        <v>10000</v>
      </c>
      <c r="E74" s="29"/>
      <c r="F74" s="29"/>
    </row>
    <row r="75" spans="1:4" ht="56.25">
      <c r="A75" s="16" t="s">
        <v>81</v>
      </c>
      <c r="B75" s="17" t="s">
        <v>9</v>
      </c>
      <c r="C75" s="12"/>
      <c r="D75" s="18">
        <f>D76+D91</f>
        <v>47132318.02</v>
      </c>
    </row>
    <row r="76" spans="1:4" s="34" customFormat="1" ht="56.25">
      <c r="A76" s="26" t="s">
        <v>26</v>
      </c>
      <c r="B76" s="21" t="s">
        <v>10</v>
      </c>
      <c r="C76" s="21"/>
      <c r="D76" s="22">
        <f>SUM(D77:D90)</f>
        <v>43921444.080000006</v>
      </c>
    </row>
    <row r="77" spans="1:4" s="34" customFormat="1" ht="136.5" customHeight="1">
      <c r="A77" s="24" t="s">
        <v>191</v>
      </c>
      <c r="B77" s="12" t="s">
        <v>192</v>
      </c>
      <c r="C77" s="12">
        <v>200</v>
      </c>
      <c r="D77" s="25">
        <f>389629.24+126134+18654.82-11467.92+11800</f>
        <v>534750.1399999999</v>
      </c>
    </row>
    <row r="78" spans="1:4" s="34" customFormat="1" ht="98.25" customHeight="1">
      <c r="A78" s="24" t="s">
        <v>273</v>
      </c>
      <c r="B78" s="12" t="s">
        <v>272</v>
      </c>
      <c r="C78" s="12">
        <v>200</v>
      </c>
      <c r="D78" s="25">
        <f>75000+58840</f>
        <v>133840</v>
      </c>
    </row>
    <row r="79" spans="1:4" s="34" customFormat="1" ht="100.5" customHeight="1">
      <c r="A79" s="24" t="s">
        <v>203</v>
      </c>
      <c r="B79" s="12" t="s">
        <v>204</v>
      </c>
      <c r="C79" s="12">
        <v>200</v>
      </c>
      <c r="D79" s="25">
        <f>26756+18869.8+538145</f>
        <v>583770.8</v>
      </c>
    </row>
    <row r="80" spans="1:4" s="34" customFormat="1" ht="156.75" customHeight="1">
      <c r="A80" s="24" t="s">
        <v>205</v>
      </c>
      <c r="B80" s="12" t="s">
        <v>206</v>
      </c>
      <c r="C80" s="12">
        <v>200</v>
      </c>
      <c r="D80" s="25">
        <f>15891</f>
        <v>15891</v>
      </c>
    </row>
    <row r="81" spans="1:6" s="28" customFormat="1" ht="289.5" customHeight="1">
      <c r="A81" s="24" t="s">
        <v>168</v>
      </c>
      <c r="B81" s="12" t="s">
        <v>169</v>
      </c>
      <c r="C81" s="12">
        <v>200</v>
      </c>
      <c r="D81" s="25">
        <f>12557207.56+550360.67+18.82+428000+19880+10250+43000+496909.68</f>
        <v>14105626.73</v>
      </c>
      <c r="E81" s="35"/>
      <c r="F81" s="36"/>
    </row>
    <row r="82" spans="1:6" s="28" customFormat="1" ht="99.75" customHeight="1">
      <c r="A82" s="24" t="s">
        <v>185</v>
      </c>
      <c r="B82" s="12" t="s">
        <v>186</v>
      </c>
      <c r="C82" s="12">
        <v>200</v>
      </c>
      <c r="D82" s="25">
        <f>2369094.67</f>
        <v>2369094.67</v>
      </c>
      <c r="E82" s="35"/>
      <c r="F82" s="36"/>
    </row>
    <row r="83" spans="1:6" s="28" customFormat="1" ht="96.75" customHeight="1">
      <c r="A83" s="24" t="s">
        <v>187</v>
      </c>
      <c r="B83" s="12" t="s">
        <v>188</v>
      </c>
      <c r="C83" s="12">
        <v>200</v>
      </c>
      <c r="D83" s="25">
        <f>281910-42101</f>
        <v>239809</v>
      </c>
      <c r="E83" s="35"/>
      <c r="F83" s="36"/>
    </row>
    <row r="84" spans="1:6" s="28" customFormat="1" ht="100.5" customHeight="1">
      <c r="A84" s="24" t="s">
        <v>189</v>
      </c>
      <c r="B84" s="12" t="s">
        <v>190</v>
      </c>
      <c r="C84" s="12">
        <v>200</v>
      </c>
      <c r="D84" s="25">
        <f>1001770-170301.14</f>
        <v>831468.86</v>
      </c>
      <c r="E84" s="35"/>
      <c r="F84" s="36"/>
    </row>
    <row r="85" spans="1:6" s="28" customFormat="1" ht="102.75" customHeight="1">
      <c r="A85" s="24" t="s">
        <v>234</v>
      </c>
      <c r="B85" s="12" t="s">
        <v>232</v>
      </c>
      <c r="C85" s="12">
        <v>200</v>
      </c>
      <c r="D85" s="25">
        <f>180000-81000</f>
        <v>99000</v>
      </c>
      <c r="E85" s="35"/>
      <c r="F85" s="36"/>
    </row>
    <row r="86" spans="1:6" s="28" customFormat="1" ht="100.5" customHeight="1">
      <c r="A86" s="24" t="s">
        <v>235</v>
      </c>
      <c r="B86" s="12" t="s">
        <v>233</v>
      </c>
      <c r="C86" s="12">
        <v>200</v>
      </c>
      <c r="D86" s="25">
        <f>100000-30000</f>
        <v>70000</v>
      </c>
      <c r="E86" s="35"/>
      <c r="F86" s="36"/>
    </row>
    <row r="87" spans="1:6" s="28" customFormat="1" ht="100.5" customHeight="1">
      <c r="A87" s="24" t="s">
        <v>262</v>
      </c>
      <c r="B87" s="12" t="s">
        <v>261</v>
      </c>
      <c r="C87" s="12">
        <v>200</v>
      </c>
      <c r="D87" s="25">
        <f>89496.78</f>
        <v>89496.78</v>
      </c>
      <c r="E87" s="35"/>
      <c r="F87" s="36"/>
    </row>
    <row r="88" spans="1:6" s="28" customFormat="1" ht="136.5" customHeight="1">
      <c r="A88" s="24" t="s">
        <v>294</v>
      </c>
      <c r="B88" s="12" t="s">
        <v>291</v>
      </c>
      <c r="C88" s="12">
        <v>200</v>
      </c>
      <c r="D88" s="25">
        <f>132812.81</f>
        <v>132812.81</v>
      </c>
      <c r="E88" s="35"/>
      <c r="F88" s="36"/>
    </row>
    <row r="89" spans="1:6" s="28" customFormat="1" ht="100.5" customHeight="1">
      <c r="A89" s="24" t="s">
        <v>258</v>
      </c>
      <c r="B89" s="12" t="s">
        <v>257</v>
      </c>
      <c r="C89" s="12">
        <v>200</v>
      </c>
      <c r="D89" s="25">
        <f>21258340.8</f>
        <v>21258340.8</v>
      </c>
      <c r="E89" s="35"/>
      <c r="F89" s="36"/>
    </row>
    <row r="90" spans="1:6" ht="157.5" customHeight="1">
      <c r="A90" s="27" t="s">
        <v>149</v>
      </c>
      <c r="B90" s="12" t="s">
        <v>148</v>
      </c>
      <c r="C90" s="12">
        <v>200</v>
      </c>
      <c r="D90" s="25">
        <f>3284665.36+172877.13</f>
        <v>3457542.4899999998</v>
      </c>
      <c r="E90" s="29"/>
      <c r="F90" s="29"/>
    </row>
    <row r="91" spans="1:6" s="23" customFormat="1" ht="60" customHeight="1">
      <c r="A91" s="26" t="s">
        <v>116</v>
      </c>
      <c r="B91" s="21" t="s">
        <v>117</v>
      </c>
      <c r="C91" s="21"/>
      <c r="D91" s="22">
        <f>D92</f>
        <v>3210873.9400000004</v>
      </c>
      <c r="E91" s="31"/>
      <c r="F91" s="31"/>
    </row>
    <row r="92" spans="1:6" ht="118.5" customHeight="1">
      <c r="A92" s="27" t="s">
        <v>118</v>
      </c>
      <c r="B92" s="12" t="s">
        <v>119</v>
      </c>
      <c r="C92" s="12">
        <v>200</v>
      </c>
      <c r="D92" s="25">
        <f>2823999.33+315822.23+71161.64-109.26</f>
        <v>3210873.9400000004</v>
      </c>
      <c r="E92" s="29"/>
      <c r="F92" s="29"/>
    </row>
    <row r="93" spans="1:4" ht="56.25">
      <c r="A93" s="16" t="s">
        <v>82</v>
      </c>
      <c r="B93" s="17" t="s">
        <v>22</v>
      </c>
      <c r="C93" s="17"/>
      <c r="D93" s="18">
        <f>D94</f>
        <v>1157982.37</v>
      </c>
    </row>
    <row r="94" spans="1:4" s="23" customFormat="1" ht="39" customHeight="1">
      <c r="A94" s="26" t="s">
        <v>28</v>
      </c>
      <c r="B94" s="21" t="s">
        <v>23</v>
      </c>
      <c r="C94" s="21"/>
      <c r="D94" s="22">
        <f>SUM(D95:D96)</f>
        <v>1157982.37</v>
      </c>
    </row>
    <row r="95" spans="1:4" ht="78" customHeight="1">
      <c r="A95" s="27" t="s">
        <v>40</v>
      </c>
      <c r="B95" s="12" t="s">
        <v>73</v>
      </c>
      <c r="C95" s="12">
        <v>200</v>
      </c>
      <c r="D95" s="25">
        <f>389044-317698.55+41270+328447.71+144121.09+255879+12320+5000</f>
        <v>858383.25</v>
      </c>
    </row>
    <row r="96" spans="1:4" ht="78" customHeight="1">
      <c r="A96" s="27" t="s">
        <v>159</v>
      </c>
      <c r="B96" s="12" t="s">
        <v>158</v>
      </c>
      <c r="C96" s="12">
        <v>200</v>
      </c>
      <c r="D96" s="25">
        <f>1000000-369447.71-211532.08-119421.09</f>
        <v>299599.1200000001</v>
      </c>
    </row>
    <row r="97" spans="1:4" ht="115.5" customHeight="1">
      <c r="A97" s="16" t="s">
        <v>126</v>
      </c>
      <c r="B97" s="17" t="s">
        <v>41</v>
      </c>
      <c r="C97" s="17"/>
      <c r="D97" s="18">
        <f>D98</f>
        <v>2400000</v>
      </c>
    </row>
    <row r="98" spans="1:4" s="23" customFormat="1" ht="57.75" customHeight="1">
      <c r="A98" s="26" t="s">
        <v>43</v>
      </c>
      <c r="B98" s="21" t="s">
        <v>42</v>
      </c>
      <c r="C98" s="21"/>
      <c r="D98" s="22">
        <f>D99</f>
        <v>2400000</v>
      </c>
    </row>
    <row r="99" spans="1:4" ht="115.5" customHeight="1">
      <c r="A99" s="24" t="s">
        <v>125</v>
      </c>
      <c r="B99" s="12" t="s">
        <v>64</v>
      </c>
      <c r="C99" s="12">
        <v>800</v>
      </c>
      <c r="D99" s="25">
        <f>2400000</f>
        <v>2400000</v>
      </c>
    </row>
    <row r="100" spans="1:4" s="34" customFormat="1" ht="56.25">
      <c r="A100" s="16" t="s">
        <v>46</v>
      </c>
      <c r="B100" s="17" t="s">
        <v>47</v>
      </c>
      <c r="C100" s="12"/>
      <c r="D100" s="18">
        <f>D101+D105</f>
        <v>255000</v>
      </c>
    </row>
    <row r="101" spans="1:4" s="34" customFormat="1" ht="37.5">
      <c r="A101" s="26" t="s">
        <v>48</v>
      </c>
      <c r="B101" s="21" t="s">
        <v>44</v>
      </c>
      <c r="C101" s="21"/>
      <c r="D101" s="22">
        <f>SUM(D102:D104)</f>
        <v>195000</v>
      </c>
    </row>
    <row r="102" spans="1:4" s="19" customFormat="1" ht="57.75" customHeight="1">
      <c r="A102" s="27" t="s">
        <v>101</v>
      </c>
      <c r="B102" s="12" t="s">
        <v>102</v>
      </c>
      <c r="C102" s="12">
        <v>200</v>
      </c>
      <c r="D102" s="25">
        <f>25000+50000</f>
        <v>75000</v>
      </c>
    </row>
    <row r="103" spans="1:4" ht="96" customHeight="1">
      <c r="A103" s="27" t="s">
        <v>105</v>
      </c>
      <c r="B103" s="12" t="s">
        <v>74</v>
      </c>
      <c r="C103" s="12">
        <v>200</v>
      </c>
      <c r="D103" s="25">
        <f>90000</f>
        <v>90000</v>
      </c>
    </row>
    <row r="104" spans="1:4" ht="98.25" customHeight="1">
      <c r="A104" s="27" t="s">
        <v>49</v>
      </c>
      <c r="B104" s="12" t="s">
        <v>75</v>
      </c>
      <c r="C104" s="12">
        <v>200</v>
      </c>
      <c r="D104" s="25">
        <f>9000+21000</f>
        <v>30000</v>
      </c>
    </row>
    <row r="105" spans="1:4" s="23" customFormat="1" ht="38.25" customHeight="1">
      <c r="A105" s="26" t="s">
        <v>27</v>
      </c>
      <c r="B105" s="21" t="s">
        <v>53</v>
      </c>
      <c r="C105" s="12"/>
      <c r="D105" s="22">
        <f>D106</f>
        <v>60000</v>
      </c>
    </row>
    <row r="106" spans="1:4" ht="94.5" customHeight="1">
      <c r="A106" s="27" t="s">
        <v>45</v>
      </c>
      <c r="B106" s="12" t="s">
        <v>76</v>
      </c>
      <c r="C106" s="12">
        <v>200</v>
      </c>
      <c r="D106" s="25">
        <f>60000</f>
        <v>60000</v>
      </c>
    </row>
    <row r="107" spans="1:4" s="34" customFormat="1" ht="115.5" customHeight="1">
      <c r="A107" s="16" t="s">
        <v>92</v>
      </c>
      <c r="B107" s="17" t="s">
        <v>93</v>
      </c>
      <c r="C107" s="17"/>
      <c r="D107" s="18">
        <f>D108</f>
        <v>3675413.42</v>
      </c>
    </row>
    <row r="108" spans="1:4" s="23" customFormat="1" ht="77.25" customHeight="1">
      <c r="A108" s="26" t="s">
        <v>94</v>
      </c>
      <c r="B108" s="21" t="s">
        <v>95</v>
      </c>
      <c r="C108" s="21"/>
      <c r="D108" s="22">
        <f>SUM(D109:D110)</f>
        <v>3675413.42</v>
      </c>
    </row>
    <row r="109" spans="1:4" ht="135.75" customHeight="1">
      <c r="A109" s="24" t="s">
        <v>96</v>
      </c>
      <c r="B109" s="12" t="s">
        <v>97</v>
      </c>
      <c r="C109" s="12">
        <v>100</v>
      </c>
      <c r="D109" s="25">
        <f>3343095.88+1190048.83-198341.47-76168-23002.73-892536.63+196039.54</f>
        <v>3539135.42</v>
      </c>
    </row>
    <row r="110" spans="1:4" ht="96.75" customHeight="1">
      <c r="A110" s="27" t="s">
        <v>98</v>
      </c>
      <c r="B110" s="12" t="s">
        <v>97</v>
      </c>
      <c r="C110" s="12">
        <v>200</v>
      </c>
      <c r="D110" s="25">
        <f>135278+639208.17-639208.17-2000-2000-6000+11000</f>
        <v>136278</v>
      </c>
    </row>
    <row r="111" spans="1:4" ht="61.5" customHeight="1">
      <c r="A111" s="16" t="s">
        <v>179</v>
      </c>
      <c r="B111" s="17" t="s">
        <v>180</v>
      </c>
      <c r="C111" s="12"/>
      <c r="D111" s="18">
        <f>D112</f>
        <v>340000</v>
      </c>
    </row>
    <row r="112" spans="1:4" ht="59.25" customHeight="1">
      <c r="A112" s="26" t="s">
        <v>181</v>
      </c>
      <c r="B112" s="21" t="s">
        <v>182</v>
      </c>
      <c r="C112" s="12"/>
      <c r="D112" s="22">
        <f>D113</f>
        <v>340000</v>
      </c>
    </row>
    <row r="113" spans="1:4" ht="118.5" customHeight="1">
      <c r="A113" s="27" t="s">
        <v>217</v>
      </c>
      <c r="B113" s="12" t="s">
        <v>212</v>
      </c>
      <c r="C113" s="12">
        <v>800</v>
      </c>
      <c r="D113" s="25">
        <f>340000</f>
        <v>340000</v>
      </c>
    </row>
    <row r="114" spans="1:4" ht="37.5">
      <c r="A114" s="16" t="s">
        <v>90</v>
      </c>
      <c r="B114" s="17" t="s">
        <v>11</v>
      </c>
      <c r="C114" s="12"/>
      <c r="D114" s="18">
        <f>D115+D118</f>
        <v>411661.66</v>
      </c>
    </row>
    <row r="115" spans="1:4" ht="96.75" customHeight="1">
      <c r="A115" s="16" t="s">
        <v>91</v>
      </c>
      <c r="B115" s="17" t="s">
        <v>12</v>
      </c>
      <c r="C115" s="12"/>
      <c r="D115" s="18">
        <f>D116</f>
        <v>97495.95000000001</v>
      </c>
    </row>
    <row r="116" spans="1:4" s="34" customFormat="1" ht="56.25">
      <c r="A116" s="26" t="s">
        <v>54</v>
      </c>
      <c r="B116" s="21" t="s">
        <v>13</v>
      </c>
      <c r="C116" s="21"/>
      <c r="D116" s="22">
        <f>SUM(D117:D117)</f>
        <v>97495.95000000001</v>
      </c>
    </row>
    <row r="117" spans="1:4" s="19" customFormat="1" ht="118.5" customHeight="1">
      <c r="A117" s="27" t="s">
        <v>145</v>
      </c>
      <c r="B117" s="12" t="s">
        <v>144</v>
      </c>
      <c r="C117" s="12">
        <v>200</v>
      </c>
      <c r="D117" s="25">
        <f>100000+180000-15133-2504.05-164867</f>
        <v>97495.95000000001</v>
      </c>
    </row>
    <row r="118" spans="1:4" ht="76.5" customHeight="1">
      <c r="A118" s="16" t="s">
        <v>50</v>
      </c>
      <c r="B118" s="17" t="s">
        <v>14</v>
      </c>
      <c r="C118" s="12"/>
      <c r="D118" s="18">
        <f>D119</f>
        <v>314165.70999999996</v>
      </c>
    </row>
    <row r="119" spans="1:4" s="34" customFormat="1" ht="56.25">
      <c r="A119" s="26" t="s">
        <v>55</v>
      </c>
      <c r="B119" s="21" t="s">
        <v>15</v>
      </c>
      <c r="C119" s="21"/>
      <c r="D119" s="22">
        <f>SUM(D120:D122)</f>
        <v>314165.70999999996</v>
      </c>
    </row>
    <row r="120" spans="1:4" ht="96" customHeight="1">
      <c r="A120" s="27" t="s">
        <v>51</v>
      </c>
      <c r="B120" s="12" t="s">
        <v>77</v>
      </c>
      <c r="C120" s="12">
        <v>200</v>
      </c>
      <c r="D120" s="25">
        <f>261500-13675-52620</f>
        <v>195205</v>
      </c>
    </row>
    <row r="121" spans="1:4" ht="134.25" customHeight="1">
      <c r="A121" s="27" t="s">
        <v>56</v>
      </c>
      <c r="B121" s="12" t="s">
        <v>78</v>
      </c>
      <c r="C121" s="12">
        <v>200</v>
      </c>
      <c r="D121" s="25">
        <f>12000+16633</f>
        <v>28633</v>
      </c>
    </row>
    <row r="122" spans="1:4" ht="56.25">
      <c r="A122" s="27" t="s">
        <v>52</v>
      </c>
      <c r="B122" s="12" t="s">
        <v>79</v>
      </c>
      <c r="C122" s="12">
        <v>800</v>
      </c>
      <c r="D122" s="25">
        <f>400000-100000-35000-35713.32-30000-27674.47-58212.92-23071.58</f>
        <v>90327.70999999999</v>
      </c>
    </row>
    <row r="123" spans="1:4" s="19" customFormat="1" ht="78" customHeight="1">
      <c r="A123" s="16" t="s">
        <v>174</v>
      </c>
      <c r="B123" s="17" t="s">
        <v>175</v>
      </c>
      <c r="C123" s="17"/>
      <c r="D123" s="18">
        <f>D124</f>
        <v>9439848.7</v>
      </c>
    </row>
    <row r="124" spans="1:4" s="19" customFormat="1" ht="39.75" customHeight="1">
      <c r="A124" s="16" t="s">
        <v>183</v>
      </c>
      <c r="B124" s="17" t="s">
        <v>184</v>
      </c>
      <c r="C124" s="17"/>
      <c r="D124" s="18">
        <f>D125+D131</f>
        <v>9439848.7</v>
      </c>
    </row>
    <row r="125" spans="1:4" s="19" customFormat="1" ht="39.75" customHeight="1">
      <c r="A125" s="26" t="s">
        <v>213</v>
      </c>
      <c r="B125" s="21" t="s">
        <v>214</v>
      </c>
      <c r="C125" s="37"/>
      <c r="D125" s="22">
        <f>SUM(D126:D130)</f>
        <v>418492.7</v>
      </c>
    </row>
    <row r="126" spans="1:4" s="19" customFormat="1" ht="122.25" customHeight="1">
      <c r="A126" s="27" t="s">
        <v>229</v>
      </c>
      <c r="B126" s="38" t="s">
        <v>219</v>
      </c>
      <c r="C126" s="12">
        <v>200</v>
      </c>
      <c r="D126" s="25">
        <f>9500</f>
        <v>9500</v>
      </c>
    </row>
    <row r="127" spans="1:4" s="19" customFormat="1" ht="99.75" customHeight="1">
      <c r="A127" s="27" t="s">
        <v>228</v>
      </c>
      <c r="B127" s="38" t="s">
        <v>220</v>
      </c>
      <c r="C127" s="12">
        <v>200</v>
      </c>
      <c r="D127" s="25">
        <f>214112.63</f>
        <v>214112.63</v>
      </c>
    </row>
    <row r="128" spans="1:4" s="19" customFormat="1" ht="142.5" customHeight="1">
      <c r="A128" s="27" t="s">
        <v>237</v>
      </c>
      <c r="B128" s="38" t="s">
        <v>236</v>
      </c>
      <c r="C128" s="12">
        <v>200</v>
      </c>
      <c r="D128" s="25">
        <f>100000</f>
        <v>100000</v>
      </c>
    </row>
    <row r="129" spans="1:4" s="19" customFormat="1" ht="117.75" customHeight="1">
      <c r="A129" s="27" t="s">
        <v>264</v>
      </c>
      <c r="B129" s="38" t="s">
        <v>263</v>
      </c>
      <c r="C129" s="12">
        <v>200</v>
      </c>
      <c r="D129" s="25">
        <f>14880.07</f>
        <v>14880.07</v>
      </c>
    </row>
    <row r="130" spans="1:4" s="19" customFormat="1" ht="81.75" customHeight="1">
      <c r="A130" s="27" t="s">
        <v>298</v>
      </c>
      <c r="B130" s="38" t="s">
        <v>297</v>
      </c>
      <c r="C130" s="12">
        <v>200</v>
      </c>
      <c r="D130" s="25">
        <v>80000</v>
      </c>
    </row>
    <row r="131" spans="1:4" s="23" customFormat="1" ht="41.25" customHeight="1">
      <c r="A131" s="26" t="s">
        <v>176</v>
      </c>
      <c r="B131" s="21" t="s">
        <v>177</v>
      </c>
      <c r="C131" s="21"/>
      <c r="D131" s="22">
        <f>SUM(D132:D133)</f>
        <v>9021356</v>
      </c>
    </row>
    <row r="132" spans="1:4" s="28" customFormat="1" ht="75.75" customHeight="1">
      <c r="A132" s="27" t="s">
        <v>172</v>
      </c>
      <c r="B132" s="12" t="s">
        <v>173</v>
      </c>
      <c r="C132" s="12">
        <v>200</v>
      </c>
      <c r="D132" s="25">
        <f>10005263.16-1750921.16</f>
        <v>8254342</v>
      </c>
    </row>
    <row r="133" spans="1:4" s="28" customFormat="1" ht="126.75" customHeight="1">
      <c r="A133" s="27" t="s">
        <v>239</v>
      </c>
      <c r="B133" s="12" t="s">
        <v>238</v>
      </c>
      <c r="C133" s="12">
        <v>200</v>
      </c>
      <c r="D133" s="25">
        <f>161072.94+575260.5+30680.56</f>
        <v>767014</v>
      </c>
    </row>
    <row r="134" spans="1:4" s="40" customFormat="1" ht="39.75" customHeight="1">
      <c r="A134" s="39" t="s">
        <v>114</v>
      </c>
      <c r="B134" s="17" t="s">
        <v>115</v>
      </c>
      <c r="C134" s="17"/>
      <c r="D134" s="18">
        <f>D135</f>
        <v>2535663.7600000002</v>
      </c>
    </row>
    <row r="135" spans="1:4" s="19" customFormat="1" ht="56.25">
      <c r="A135" s="16" t="s">
        <v>29</v>
      </c>
      <c r="B135" s="17" t="s">
        <v>16</v>
      </c>
      <c r="C135" s="12"/>
      <c r="D135" s="18">
        <f>SUM(D136:D139)</f>
        <v>2535663.7600000002</v>
      </c>
    </row>
    <row r="136" spans="1:4" ht="135" customHeight="1">
      <c r="A136" s="27" t="s">
        <v>106</v>
      </c>
      <c r="B136" s="12" t="s">
        <v>17</v>
      </c>
      <c r="C136" s="12">
        <v>100</v>
      </c>
      <c r="D136" s="25">
        <f>762667.02+7626.67+14322</f>
        <v>784615.6900000001</v>
      </c>
    </row>
    <row r="137" spans="1:4" ht="135" customHeight="1">
      <c r="A137" s="27" t="s">
        <v>83</v>
      </c>
      <c r="B137" s="12" t="s">
        <v>62</v>
      </c>
      <c r="C137" s="12">
        <v>100</v>
      </c>
      <c r="D137" s="25">
        <f>1218333.24+5173.08+11235.75</f>
        <v>1234742.07</v>
      </c>
    </row>
    <row r="138" spans="1:4" ht="98.25" customHeight="1">
      <c r="A138" s="27" t="s">
        <v>84</v>
      </c>
      <c r="B138" s="12" t="s">
        <v>62</v>
      </c>
      <c r="C138" s="12">
        <v>200</v>
      </c>
      <c r="D138" s="25">
        <f>484466</f>
        <v>484466</v>
      </c>
    </row>
    <row r="139" spans="1:4" ht="58.5" customHeight="1">
      <c r="A139" s="27" t="s">
        <v>140</v>
      </c>
      <c r="B139" s="12" t="s">
        <v>141</v>
      </c>
      <c r="C139" s="12">
        <v>800</v>
      </c>
      <c r="D139" s="25">
        <f>30000+1840</f>
        <v>31840</v>
      </c>
    </row>
    <row r="140" spans="1:4" s="40" customFormat="1" ht="56.25">
      <c r="A140" s="16" t="s">
        <v>112</v>
      </c>
      <c r="B140" s="17" t="s">
        <v>113</v>
      </c>
      <c r="C140" s="17"/>
      <c r="D140" s="18">
        <f>D141</f>
        <v>2537335.23</v>
      </c>
    </row>
    <row r="141" spans="1:4" s="23" customFormat="1" ht="75">
      <c r="A141" s="16" t="s">
        <v>30</v>
      </c>
      <c r="B141" s="17" t="s">
        <v>18</v>
      </c>
      <c r="C141" s="21"/>
      <c r="D141" s="18">
        <f>SUM(D142:D173)</f>
        <v>2537335.23</v>
      </c>
    </row>
    <row r="142" spans="1:4" s="23" customFormat="1" ht="137.25" customHeight="1">
      <c r="A142" s="27" t="s">
        <v>252</v>
      </c>
      <c r="B142" s="12" t="s">
        <v>250</v>
      </c>
      <c r="C142" s="12">
        <v>500</v>
      </c>
      <c r="D142" s="25">
        <f>3600</f>
        <v>3600</v>
      </c>
    </row>
    <row r="143" spans="1:4" s="23" customFormat="1" ht="56.25">
      <c r="A143" s="27" t="s">
        <v>251</v>
      </c>
      <c r="B143" s="12" t="s">
        <v>128</v>
      </c>
      <c r="C143" s="12">
        <v>200</v>
      </c>
      <c r="D143" s="25">
        <v>1750</v>
      </c>
    </row>
    <row r="144" spans="1:4" s="23" customFormat="1" ht="39.75" customHeight="1">
      <c r="A144" s="27" t="s">
        <v>127</v>
      </c>
      <c r="B144" s="12" t="s">
        <v>128</v>
      </c>
      <c r="C144" s="12">
        <v>800</v>
      </c>
      <c r="D144" s="25">
        <f>70000-1750</f>
        <v>68250</v>
      </c>
    </row>
    <row r="145" spans="1:4" s="23" customFormat="1" ht="126" customHeight="1">
      <c r="A145" s="27" t="s">
        <v>304</v>
      </c>
      <c r="B145" s="12" t="s">
        <v>303</v>
      </c>
      <c r="C145" s="12">
        <v>600</v>
      </c>
      <c r="D145" s="25">
        <f>12180</f>
        <v>12180</v>
      </c>
    </row>
    <row r="146" spans="1:4" s="23" customFormat="1" ht="60.75" customHeight="1">
      <c r="A146" s="27" t="s">
        <v>146</v>
      </c>
      <c r="B146" s="12" t="s">
        <v>147</v>
      </c>
      <c r="C146" s="12">
        <v>700</v>
      </c>
      <c r="D146" s="25">
        <f>30582.25-5822.77</f>
        <v>24759.48</v>
      </c>
    </row>
    <row r="147" spans="1:4" s="23" customFormat="1" ht="99" customHeight="1">
      <c r="A147" s="27" t="s">
        <v>134</v>
      </c>
      <c r="B147" s="12" t="s">
        <v>135</v>
      </c>
      <c r="C147" s="12">
        <v>200</v>
      </c>
      <c r="D147" s="25">
        <f>36000</f>
        <v>36000</v>
      </c>
    </row>
    <row r="148" spans="1:4" s="23" customFormat="1" ht="77.25" customHeight="1">
      <c r="A148" s="27" t="s">
        <v>249</v>
      </c>
      <c r="B148" s="12" t="s">
        <v>248</v>
      </c>
      <c r="C148" s="12">
        <v>200</v>
      </c>
      <c r="D148" s="25">
        <f>2000+2000+18000</f>
        <v>22000</v>
      </c>
    </row>
    <row r="149" spans="1:4" s="23" customFormat="1" ht="96" customHeight="1">
      <c r="A149" s="27" t="s">
        <v>160</v>
      </c>
      <c r="B149" s="12" t="s">
        <v>129</v>
      </c>
      <c r="C149" s="12">
        <v>200</v>
      </c>
      <c r="D149" s="25">
        <f>200000-50000</f>
        <v>150000</v>
      </c>
    </row>
    <row r="150" spans="1:4" s="23" customFormat="1" ht="117.75" customHeight="1">
      <c r="A150" s="27" t="s">
        <v>155</v>
      </c>
      <c r="B150" s="12" t="s">
        <v>156</v>
      </c>
      <c r="C150" s="12">
        <v>200</v>
      </c>
      <c r="D150" s="25">
        <f>65000+59464.7-59464.7-9500-23375.1</f>
        <v>32124.9</v>
      </c>
    </row>
    <row r="151" spans="1:4" s="23" customFormat="1" ht="117" customHeight="1">
      <c r="A151" s="27" t="s">
        <v>207</v>
      </c>
      <c r="B151" s="12" t="s">
        <v>208</v>
      </c>
      <c r="C151" s="12">
        <v>200</v>
      </c>
      <c r="D151" s="25">
        <f>179950</f>
        <v>179950</v>
      </c>
    </row>
    <row r="152" spans="1:4" s="23" customFormat="1" ht="95.25" customHeight="1">
      <c r="A152" s="27" t="s">
        <v>254</v>
      </c>
      <c r="B152" s="12" t="s">
        <v>253</v>
      </c>
      <c r="C152" s="12">
        <v>200</v>
      </c>
      <c r="D152" s="25">
        <v>173974.68</v>
      </c>
    </row>
    <row r="153" spans="1:4" ht="77.25" customHeight="1">
      <c r="A153" s="27" t="s">
        <v>85</v>
      </c>
      <c r="B153" s="12" t="s">
        <v>63</v>
      </c>
      <c r="C153" s="12">
        <v>300</v>
      </c>
      <c r="D153" s="25">
        <f>208000+40536.2-15000+2258.52</f>
        <v>235794.72</v>
      </c>
    </row>
    <row r="154" spans="1:4" ht="120" customHeight="1">
      <c r="A154" s="27" t="s">
        <v>267</v>
      </c>
      <c r="B154" s="12" t="s">
        <v>265</v>
      </c>
      <c r="C154" s="12">
        <v>300</v>
      </c>
      <c r="D154" s="25">
        <v>15000</v>
      </c>
    </row>
    <row r="155" spans="1:4" ht="120" customHeight="1">
      <c r="A155" s="27" t="s">
        <v>268</v>
      </c>
      <c r="B155" s="12" t="s">
        <v>266</v>
      </c>
      <c r="C155" s="12">
        <v>300</v>
      </c>
      <c r="D155" s="25">
        <v>20000</v>
      </c>
    </row>
    <row r="156" spans="1:4" ht="117.75" customHeight="1">
      <c r="A156" s="27" t="s">
        <v>210</v>
      </c>
      <c r="B156" s="12" t="s">
        <v>209</v>
      </c>
      <c r="C156" s="12">
        <v>800</v>
      </c>
      <c r="D156" s="25">
        <f>283766.39</f>
        <v>283766.39</v>
      </c>
    </row>
    <row r="157" spans="1:4" ht="81" customHeight="1">
      <c r="A157" s="27" t="s">
        <v>216</v>
      </c>
      <c r="B157" s="12" t="s">
        <v>215</v>
      </c>
      <c r="C157" s="12">
        <v>800</v>
      </c>
      <c r="D157" s="25">
        <v>50000</v>
      </c>
    </row>
    <row r="158" spans="1:4" ht="120.75" customHeight="1">
      <c r="A158" s="27" t="s">
        <v>223</v>
      </c>
      <c r="B158" s="12" t="s">
        <v>221</v>
      </c>
      <c r="C158" s="12">
        <v>800</v>
      </c>
      <c r="D158" s="25">
        <f>605754.71</f>
        <v>605754.71</v>
      </c>
    </row>
    <row r="159" spans="1:4" ht="135.75" customHeight="1">
      <c r="A159" s="27" t="s">
        <v>224</v>
      </c>
      <c r="B159" s="12" t="s">
        <v>222</v>
      </c>
      <c r="C159" s="12">
        <v>800</v>
      </c>
      <c r="D159" s="25">
        <f>110000</f>
        <v>110000</v>
      </c>
    </row>
    <row r="160" spans="1:4" ht="116.25" customHeight="1">
      <c r="A160" s="27" t="s">
        <v>226</v>
      </c>
      <c r="B160" s="12" t="s">
        <v>225</v>
      </c>
      <c r="C160" s="12">
        <v>800</v>
      </c>
      <c r="D160" s="25">
        <v>30000</v>
      </c>
    </row>
    <row r="161" spans="1:4" ht="99" customHeight="1">
      <c r="A161" s="27" t="s">
        <v>242</v>
      </c>
      <c r="B161" s="12" t="s">
        <v>240</v>
      </c>
      <c r="C161" s="12">
        <v>800</v>
      </c>
      <c r="D161" s="25">
        <v>50000</v>
      </c>
    </row>
    <row r="162" spans="1:4" ht="96.75" customHeight="1">
      <c r="A162" s="27" t="s">
        <v>243</v>
      </c>
      <c r="B162" s="12" t="s">
        <v>241</v>
      </c>
      <c r="C162" s="12">
        <v>800</v>
      </c>
      <c r="D162" s="25">
        <v>30000</v>
      </c>
    </row>
    <row r="163" spans="1:4" ht="96.75" customHeight="1">
      <c r="A163" s="27" t="s">
        <v>245</v>
      </c>
      <c r="B163" s="12" t="s">
        <v>244</v>
      </c>
      <c r="C163" s="12">
        <v>800</v>
      </c>
      <c r="D163" s="25">
        <v>50000</v>
      </c>
    </row>
    <row r="164" spans="1:4" ht="79.5" customHeight="1">
      <c r="A164" s="27" t="s">
        <v>256</v>
      </c>
      <c r="B164" s="12" t="s">
        <v>255</v>
      </c>
      <c r="C164" s="12">
        <v>800</v>
      </c>
      <c r="D164" s="25">
        <v>30000</v>
      </c>
    </row>
    <row r="165" spans="1:4" ht="160.5" customHeight="1">
      <c r="A165" s="27" t="s">
        <v>271</v>
      </c>
      <c r="B165" s="12" t="s">
        <v>270</v>
      </c>
      <c r="C165" s="12">
        <v>800</v>
      </c>
      <c r="D165" s="25">
        <v>35713.32</v>
      </c>
    </row>
    <row r="166" spans="1:4" ht="101.25" customHeight="1">
      <c r="A166" s="27" t="s">
        <v>277</v>
      </c>
      <c r="B166" s="12" t="s">
        <v>276</v>
      </c>
      <c r="C166" s="12">
        <v>800</v>
      </c>
      <c r="D166" s="25">
        <v>50000</v>
      </c>
    </row>
    <row r="167" spans="1:4" ht="101.25" customHeight="1">
      <c r="A167" s="27" t="s">
        <v>293</v>
      </c>
      <c r="B167" s="12" t="s">
        <v>292</v>
      </c>
      <c r="C167" s="12">
        <v>800</v>
      </c>
      <c r="D167" s="25">
        <f>30000</f>
        <v>30000</v>
      </c>
    </row>
    <row r="168" spans="1:4" ht="147" customHeight="1">
      <c r="A168" s="27" t="s">
        <v>308</v>
      </c>
      <c r="B168" s="12" t="s">
        <v>305</v>
      </c>
      <c r="C168" s="12">
        <v>200</v>
      </c>
      <c r="D168" s="25">
        <f>46032.92-5532.64</f>
        <v>40500.28</v>
      </c>
    </row>
    <row r="169" spans="1:4" ht="116.25" customHeight="1">
      <c r="A169" s="27" t="s">
        <v>311</v>
      </c>
      <c r="B169" s="12" t="s">
        <v>305</v>
      </c>
      <c r="C169" s="12">
        <v>800</v>
      </c>
      <c r="D169" s="25">
        <f>5532.64</f>
        <v>5532.64</v>
      </c>
    </row>
    <row r="170" spans="1:4" ht="101.25" customHeight="1">
      <c r="A170" s="27" t="s">
        <v>309</v>
      </c>
      <c r="B170" s="12" t="s">
        <v>306</v>
      </c>
      <c r="C170" s="12">
        <v>800</v>
      </c>
      <c r="D170" s="25">
        <f>30000</f>
        <v>30000</v>
      </c>
    </row>
    <row r="171" spans="1:4" ht="101.25" customHeight="1">
      <c r="A171" s="27" t="s">
        <v>310</v>
      </c>
      <c r="B171" s="12" t="s">
        <v>307</v>
      </c>
      <c r="C171" s="12">
        <v>800</v>
      </c>
      <c r="D171" s="25">
        <f>30000</f>
        <v>30000</v>
      </c>
    </row>
    <row r="172" spans="1:4" ht="234.75" customHeight="1">
      <c r="A172" s="27" t="s">
        <v>318</v>
      </c>
      <c r="B172" s="12" t="s">
        <v>317</v>
      </c>
      <c r="C172" s="12">
        <v>200</v>
      </c>
      <c r="D172" s="25">
        <f>99097.64</f>
        <v>99097.64</v>
      </c>
    </row>
    <row r="173" spans="1:4" ht="199.5" customHeight="1">
      <c r="A173" s="27" t="s">
        <v>319</v>
      </c>
      <c r="B173" s="12" t="s">
        <v>317</v>
      </c>
      <c r="C173" s="12">
        <v>800</v>
      </c>
      <c r="D173" s="25">
        <f>1586.47</f>
        <v>1586.47</v>
      </c>
    </row>
    <row r="174" spans="1:4" s="4" customFormat="1" ht="18.75">
      <c r="A174" s="41" t="s">
        <v>107</v>
      </c>
      <c r="B174" s="41"/>
      <c r="C174" s="41"/>
      <c r="D174" s="18">
        <f>D22+D46+D114+D134+D140+D123</f>
        <v>129197875.44000001</v>
      </c>
    </row>
    <row r="175" spans="4:6" ht="18.75">
      <c r="D175" s="42" t="s">
        <v>285</v>
      </c>
      <c r="E175" s="43"/>
      <c r="F175" s="43"/>
    </row>
    <row r="176" spans="2:6" s="19" customFormat="1" ht="18.75">
      <c r="B176" s="44"/>
      <c r="C176" s="45"/>
      <c r="D176" s="43"/>
      <c r="E176" s="43"/>
      <c r="F176" s="43"/>
    </row>
    <row r="179" spans="1:4" s="19" customFormat="1" ht="18.75">
      <c r="A179" s="46"/>
      <c r="B179" s="44"/>
      <c r="C179" s="45"/>
      <c r="D179" s="43"/>
    </row>
    <row r="180" spans="1:4" s="19" customFormat="1" ht="18.75">
      <c r="A180" s="47"/>
      <c r="B180" s="44"/>
      <c r="C180" s="45"/>
      <c r="D180" s="43"/>
    </row>
    <row r="181" ht="18.75">
      <c r="D181" s="43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6:D16"/>
    <mergeCell ref="A18:D18"/>
    <mergeCell ref="A174:C174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2021-12-21T10:58:45Z</dcterms:modified>
  <cp:category/>
  <cp:version/>
  <cp:contentType/>
  <cp:contentStatus/>
</cp:coreProperties>
</file>